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M\"/>
    </mc:Choice>
  </mc:AlternateContent>
  <xr:revisionPtr revIDLastSave="0" documentId="8_{94C2729C-37C4-4751-8453-6BC1EFE3C263}" xr6:coauthVersionLast="36" xr6:coauthVersionMax="36" xr10:uidLastSave="{00000000-0000-0000-0000-000000000000}"/>
  <bookViews>
    <workbookView xWindow="0" yWindow="0" windowWidth="15675" windowHeight="8505" xr2:uid="{00000000-000D-0000-FFFF-FFFF00000000}"/>
  </bookViews>
  <sheets>
    <sheet name="Jadual 5 Expen R&amp;D By State" sheetId="1" r:id="rId1"/>
  </sheets>
  <definedNames>
    <definedName name="_xlnm.Print_Area" localSheetId="0">'Jadual 5 Expen R&amp;D By State'!$A$1:$E$286</definedName>
  </definedNames>
  <calcPr calcId="191029"/>
  <extLst>
    <ext uri="GoogleSheetsCustomDataVersion2">
      <go:sheetsCustomData xmlns:go="http://customooxmlschemas.google.com/" r:id="rId5" roundtripDataChecksum="cBsb+/FTAAhX+AhT4ghVeFQ5CqPX69f6APMl5aO/NVs="/>
    </ext>
  </extLst>
</workbook>
</file>

<file path=xl/calcChain.xml><?xml version="1.0" encoding="utf-8"?>
<calcChain xmlns="http://schemas.openxmlformats.org/spreadsheetml/2006/main">
  <c r="B11" i="1" l="1"/>
  <c r="D11" i="1"/>
  <c r="E11" i="1"/>
  <c r="C11" i="1"/>
  <c r="B45" i="1"/>
  <c r="C45" i="1"/>
  <c r="D45" i="1"/>
  <c r="B47" i="1"/>
  <c r="C47" i="1"/>
  <c r="D47" i="1"/>
  <c r="E47" i="1"/>
  <c r="E43" i="1"/>
  <c r="D43" i="1"/>
  <c r="C43" i="1"/>
  <c r="B43" i="1"/>
  <c r="C41" i="1" l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B17" i="1"/>
  <c r="D17" i="1"/>
  <c r="E17" i="1"/>
  <c r="B19" i="1"/>
  <c r="D19" i="1"/>
  <c r="E19" i="1"/>
  <c r="B21" i="1"/>
  <c r="D21" i="1"/>
  <c r="E21" i="1"/>
  <c r="B23" i="1"/>
  <c r="D23" i="1"/>
  <c r="E23" i="1"/>
  <c r="B25" i="1"/>
  <c r="D25" i="1"/>
  <c r="E25" i="1"/>
  <c r="B27" i="1"/>
  <c r="D27" i="1"/>
  <c r="E27" i="1"/>
  <c r="B29" i="1"/>
  <c r="D29" i="1"/>
  <c r="E29" i="1"/>
  <c r="B31" i="1"/>
  <c r="D31" i="1"/>
  <c r="E31" i="1"/>
  <c r="B33" i="1"/>
  <c r="D33" i="1"/>
  <c r="E33" i="1"/>
  <c r="B35" i="1"/>
  <c r="D35" i="1"/>
  <c r="E35" i="1"/>
  <c r="B37" i="1"/>
  <c r="D37" i="1"/>
  <c r="E37" i="1"/>
  <c r="B39" i="1"/>
  <c r="D39" i="1"/>
  <c r="E39" i="1"/>
  <c r="B41" i="1"/>
  <c r="D41" i="1"/>
  <c r="E41" i="1"/>
  <c r="E15" i="1"/>
  <c r="D15" i="1"/>
  <c r="B15" i="1"/>
  <c r="E272" i="1" l="1"/>
  <c r="D272" i="1"/>
  <c r="E270" i="1"/>
  <c r="D270" i="1"/>
  <c r="C270" i="1" s="1"/>
  <c r="E268" i="1"/>
  <c r="D268" i="1"/>
  <c r="E266" i="1"/>
  <c r="D266" i="1"/>
  <c r="E264" i="1"/>
  <c r="D264" i="1"/>
  <c r="E262" i="1"/>
  <c r="D262" i="1"/>
  <c r="C262" i="1" s="1"/>
  <c r="E260" i="1"/>
  <c r="D260" i="1"/>
  <c r="E258" i="1"/>
  <c r="D258" i="1"/>
  <c r="E256" i="1"/>
  <c r="D256" i="1"/>
  <c r="E254" i="1"/>
  <c r="D254" i="1"/>
  <c r="E252" i="1"/>
  <c r="D252" i="1"/>
  <c r="E250" i="1"/>
  <c r="D250" i="1"/>
  <c r="E248" i="1"/>
  <c r="D248" i="1"/>
  <c r="E246" i="1"/>
  <c r="D246" i="1"/>
  <c r="E244" i="1"/>
  <c r="D244" i="1"/>
  <c r="E242" i="1"/>
  <c r="D242" i="1"/>
  <c r="B239" i="1"/>
  <c r="E227" i="1"/>
  <c r="D227" i="1"/>
  <c r="E225" i="1"/>
  <c r="C225" i="1" s="1"/>
  <c r="E223" i="1"/>
  <c r="D223" i="1"/>
  <c r="E221" i="1"/>
  <c r="D221" i="1"/>
  <c r="E219" i="1"/>
  <c r="D219" i="1"/>
  <c r="E217" i="1"/>
  <c r="D217" i="1"/>
  <c r="E215" i="1"/>
  <c r="D215" i="1"/>
  <c r="D213" i="1"/>
  <c r="C213" i="1" s="1"/>
  <c r="E211" i="1"/>
  <c r="D211" i="1"/>
  <c r="E209" i="1"/>
  <c r="D209" i="1"/>
  <c r="E207" i="1"/>
  <c r="D207" i="1"/>
  <c r="E205" i="1"/>
  <c r="D205" i="1"/>
  <c r="E203" i="1"/>
  <c r="D203" i="1"/>
  <c r="E201" i="1"/>
  <c r="D201" i="1"/>
  <c r="E199" i="1"/>
  <c r="D199" i="1"/>
  <c r="E197" i="1"/>
  <c r="D197" i="1"/>
  <c r="B194" i="1"/>
  <c r="C182" i="1"/>
  <c r="E180" i="1"/>
  <c r="D180" i="1"/>
  <c r="E178" i="1"/>
  <c r="D178" i="1"/>
  <c r="E176" i="1"/>
  <c r="D176" i="1"/>
  <c r="E174" i="1"/>
  <c r="D174" i="1"/>
  <c r="E172" i="1"/>
  <c r="D172" i="1"/>
  <c r="E170" i="1"/>
  <c r="D170" i="1"/>
  <c r="E168" i="1"/>
  <c r="D168" i="1"/>
  <c r="E166" i="1"/>
  <c r="D166" i="1"/>
  <c r="E164" i="1"/>
  <c r="D164" i="1"/>
  <c r="E162" i="1"/>
  <c r="D162" i="1"/>
  <c r="E160" i="1"/>
  <c r="D160" i="1"/>
  <c r="E158" i="1"/>
  <c r="D158" i="1"/>
  <c r="E156" i="1"/>
  <c r="D156" i="1"/>
  <c r="E154" i="1"/>
  <c r="D154" i="1"/>
  <c r="E152" i="1"/>
  <c r="D152" i="1"/>
  <c r="B149" i="1"/>
  <c r="C137" i="1"/>
  <c r="C135" i="1"/>
  <c r="E131" i="1"/>
  <c r="D131" i="1"/>
  <c r="E129" i="1"/>
  <c r="D129" i="1"/>
  <c r="C127" i="1"/>
  <c r="D125" i="1"/>
  <c r="C125" i="1" s="1"/>
  <c r="C123" i="1"/>
  <c r="D121" i="1"/>
  <c r="C121" i="1" s="1"/>
  <c r="C119" i="1"/>
  <c r="E117" i="1"/>
  <c r="D117" i="1"/>
  <c r="C115" i="1"/>
  <c r="D113" i="1"/>
  <c r="C113" i="1" s="1"/>
  <c r="E111" i="1"/>
  <c r="D111" i="1"/>
  <c r="C109" i="1"/>
  <c r="E107" i="1"/>
  <c r="D107" i="1"/>
  <c r="B104" i="1"/>
  <c r="C92" i="1"/>
  <c r="C90" i="1"/>
  <c r="C88" i="1"/>
  <c r="E86" i="1"/>
  <c r="D86" i="1"/>
  <c r="E84" i="1"/>
  <c r="D84" i="1"/>
  <c r="D82" i="1"/>
  <c r="C82" i="1" s="1"/>
  <c r="E80" i="1"/>
  <c r="D80" i="1"/>
  <c r="D78" i="1"/>
  <c r="C78" i="1" s="1"/>
  <c r="E76" i="1"/>
  <c r="D76" i="1"/>
  <c r="E74" i="1"/>
  <c r="D74" i="1"/>
  <c r="E72" i="1"/>
  <c r="D72" i="1"/>
  <c r="E70" i="1"/>
  <c r="D70" i="1"/>
  <c r="C68" i="1"/>
  <c r="E66" i="1"/>
  <c r="D66" i="1"/>
  <c r="E64" i="1"/>
  <c r="D64" i="1"/>
  <c r="E62" i="1"/>
  <c r="D62" i="1"/>
  <c r="B59" i="1"/>
  <c r="C70" i="1" l="1"/>
  <c r="C221" i="1"/>
  <c r="C250" i="1"/>
  <c r="C258" i="1"/>
  <c r="C266" i="1"/>
  <c r="C117" i="1"/>
  <c r="C199" i="1"/>
  <c r="C164" i="1"/>
  <c r="C172" i="1"/>
  <c r="C227" i="1"/>
  <c r="C197" i="1"/>
  <c r="C205" i="1"/>
  <c r="C129" i="1"/>
  <c r="C260" i="1"/>
  <c r="C268" i="1"/>
  <c r="C217" i="1"/>
  <c r="C76" i="1"/>
  <c r="C219" i="1"/>
  <c r="C72" i="1"/>
  <c r="C207" i="1"/>
  <c r="C74" i="1"/>
  <c r="C84" i="1"/>
  <c r="C107" i="1"/>
  <c r="C80" i="1"/>
  <c r="C180" i="1"/>
  <c r="C201" i="1"/>
  <c r="C209" i="1"/>
  <c r="C246" i="1"/>
  <c r="C254" i="1"/>
  <c r="C166" i="1"/>
  <c r="C174" i="1"/>
  <c r="C211" i="1"/>
  <c r="C264" i="1"/>
  <c r="C272" i="1"/>
  <c r="C152" i="1"/>
  <c r="C160" i="1"/>
  <c r="C203" i="1"/>
  <c r="C248" i="1"/>
  <c r="C256" i="1"/>
  <c r="D149" i="1"/>
  <c r="C86" i="1"/>
  <c r="C131" i="1"/>
  <c r="C170" i="1"/>
  <c r="C178" i="1"/>
  <c r="E194" i="1"/>
  <c r="C215" i="1"/>
  <c r="C223" i="1"/>
  <c r="C111" i="1"/>
  <c r="C156" i="1"/>
  <c r="C244" i="1"/>
  <c r="C252" i="1"/>
  <c r="C64" i="1"/>
  <c r="C158" i="1"/>
  <c r="C168" i="1"/>
  <c r="C176" i="1"/>
  <c r="D239" i="1"/>
  <c r="E149" i="1"/>
  <c r="C162" i="1"/>
  <c r="E239" i="1"/>
  <c r="D59" i="1"/>
  <c r="E59" i="1"/>
  <c r="E104" i="1"/>
  <c r="D194" i="1"/>
  <c r="C62" i="1"/>
  <c r="C66" i="1"/>
  <c r="C154" i="1"/>
  <c r="C242" i="1"/>
  <c r="D104" i="1"/>
  <c r="C239" i="1" l="1"/>
  <c r="C104" i="1"/>
  <c r="C194" i="1"/>
  <c r="C59" i="1"/>
  <c r="C149" i="1"/>
</calcChain>
</file>

<file path=xl/sharedStrings.xml><?xml version="1.0" encoding="utf-8"?>
<sst xmlns="http://schemas.openxmlformats.org/spreadsheetml/2006/main" count="248" uniqueCount="71">
  <si>
    <t xml:space="preserve">Negeri
</t>
  </si>
  <si>
    <t xml:space="preserve">Jumlah
</t>
  </si>
  <si>
    <t xml:space="preserve">Jumlah 
perbelanjaan
</t>
  </si>
  <si>
    <t xml:space="preserve">Dalaman
</t>
  </si>
  <si>
    <t xml:space="preserve">Sumber luaran
</t>
  </si>
  <si>
    <t>State</t>
  </si>
  <si>
    <t>Total</t>
  </si>
  <si>
    <t>Total of 
expenditure</t>
  </si>
  <si>
    <t>In-house</t>
  </si>
  <si>
    <t>Outsource</t>
  </si>
  <si>
    <t xml:space="preserve">Bilangan pertubuhan
</t>
  </si>
  <si>
    <t xml:space="preserve">Jumlah perbelanjaan
</t>
  </si>
  <si>
    <t>Number of establishments</t>
  </si>
  <si>
    <t>Total of expenditure</t>
  </si>
  <si>
    <t>(RM'000)</t>
  </si>
  <si>
    <t>Jumlah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</si>
  <si>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</si>
  <si>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</si>
  <si>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</si>
  <si>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</si>
  <si>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</si>
  <si>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</si>
  <si>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</si>
  <si>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</si>
  <si>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</si>
  <si>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</si>
  <si>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</si>
  <si>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</si>
  <si>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</si>
  <si>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 xml:space="preserve">W. P. Kuala Lumpur </t>
  </si>
  <si>
    <t>W. P. Labuan</t>
  </si>
  <si>
    <t>W. P. Putrajaya</t>
  </si>
  <si>
    <t>Supra</t>
  </si>
  <si>
    <t>Jadual 5 : Statistik R&amp;D mengikut kategori dan negeri, 2022 (samb.)</t>
  </si>
  <si>
    <t>Table 5 : Statistics of R&amp;D by category and state, 2022 (cont.)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</si>
  <si>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</si>
  <si>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</si>
  <si>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</si>
  <si>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</si>
  <si>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</si>
  <si>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</si>
  <si>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</si>
  <si>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</si>
  <si>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</si>
  <si>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</si>
  <si>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Total of R&amp;D expenditure</t>
  </si>
  <si>
    <t xml:space="preserve">            Dalaman</t>
  </si>
  <si>
    <t xml:space="preserve">          In-house</t>
  </si>
  <si>
    <t xml:space="preserve">      Outsource</t>
  </si>
  <si>
    <t>Bilangan pertubuhan</t>
  </si>
  <si>
    <t>Perbelanjaan R&amp;D</t>
  </si>
  <si>
    <t>Sumber luaran</t>
  </si>
  <si>
    <t xml:space="preserve">Jadual 5 : Perbelanjaan R&amp;D mengikut kategori dan negeri, 2022 </t>
  </si>
  <si>
    <t xml:space="preserve">Table 5 : R&amp;D expenditure by category and state, 2022 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</si>
  <si>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</si>
  <si>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</si>
  <si>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</si>
  <si>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</si>
  <si>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</si>
  <si>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</si>
  <si>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</si>
  <si>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</si>
  <si>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</si>
  <si>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</si>
  <si>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</si>
  <si>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</si>
  <si>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</si>
  <si>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WP KUALA LUMPUR</t>
  </si>
  <si>
    <t>WP LABUAN</t>
  </si>
  <si>
    <t>WP PUTRAJAYA</t>
  </si>
  <si>
    <t>SUPRA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</si>
</sst>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\-mmm\-yy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_);_(* \(#,##0.00\);_(* &quot;-&quot;??_);_(@_)"/>
    <numFmt numFmtId="169" formatCode="_-* #,##0_-;\-* #,##0_-;_-* &quot;-&quot;??_-;_-@_-"/>
    <numFmt numFmtId="170" formatCode="_-* #,##0.0_-;\-* #,##0.0_-;_-* &quot;-&quot;??_-;_-@_-"/>
  </numFmts>
  <fonts count="7" x14ac:knownFonts="1">
    <font>
      <sz val="11"/>
      <color theme="1"/>
      <name val="Calibri"/>
      <scheme val="minor"/>
    </font>
    <font>
      <i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B7B7B7"/>
        <bgColor rgb="FFB7B7B7"/>
      </patternFill>
    </fill>
    <fill>
      <patternFill patternType="solid">
        <fgColor rgb="FFFFE4AF"/>
        <bgColor rgb="FFFFE4AF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164" fontId="0" fillId="0" borderId="0"/>
  </cellStyleXfs>
  <cellXfs count="81">
    <xf numFmtId="164" fontId="0" fillId="0" borderId="0" xfId="0"/>
    <xf numFmtId="164" fontId="1" fillId="2" borderId="1" xfId="0" applyFont="1" applyFill="1" applyBorder="1" applyAlignment="1">
      <alignment horizontal="center" vertical="center" wrapText="1"/>
    </xf>
    <xf numFmtId="164" fontId="2" fillId="2" borderId="1" xfId="0" applyFont="1" applyFill="1" applyBorder="1" applyAlignment="1">
      <alignment vertical="center"/>
    </xf>
    <xf numFmtId="164" fontId="3" fillId="0" borderId="0" xfId="0" applyFont="1"/>
    <xf numFmtId="164" fontId="2" fillId="2" borderId="1" xfId="0" applyFont="1" applyFill="1" applyBorder="1"/>
    <xf numFmtId="164" fontId="2" fillId="2" borderId="1" xfId="0" applyFont="1" applyFill="1" applyBorder="1" applyAlignment="1">
      <alignment vertical="top"/>
    </xf>
    <xf numFmtId="164" fontId="2" fillId="2" borderId="1" xfId="0" applyFont="1" applyFill="1" applyBorder="1" applyAlignment="1">
      <alignment horizontal="left" vertical="top"/>
    </xf>
    <xf numFmtId="164" fontId="1" fillId="3" borderId="1" xfId="0" applyFont="1" applyFill="1" applyBorder="1" applyAlignment="1">
      <alignment vertical="top" wrapText="1"/>
    </xf>
    <xf numFmtId="164" fontId="2" fillId="2" borderId="3" xfId="0" applyFont="1" applyFill="1" applyBorder="1" applyAlignment="1">
      <alignment vertical="center"/>
    </xf>
    <xf numFmtId="164" fontId="4" fillId="3" borderId="1" xfId="0" applyFont="1" applyFill="1" applyBorder="1" applyAlignment="1">
      <alignment horizontal="left"/>
    </xf>
    <xf numFmtId="164" fontId="4" fillId="3" borderId="1" xfId="0" applyFont="1" applyFill="1" applyBorder="1" applyAlignment="1">
      <alignment horizontal="right" wrapText="1"/>
    </xf>
    <xf numFmtId="164" fontId="2" fillId="2" borderId="1" xfId="0" applyFont="1" applyFill="1" applyBorder="1" applyAlignment="1">
      <alignment horizontal="right"/>
    </xf>
    <xf numFmtId="164" fontId="1" fillId="3" borderId="1" xfId="0" applyFont="1" applyFill="1" applyBorder="1" applyAlignment="1">
      <alignment horizontal="right" vertical="top" wrapText="1"/>
    </xf>
    <xf numFmtId="164" fontId="1" fillId="2" borderId="1" xfId="0" applyFont="1" applyFill="1" applyBorder="1" applyAlignment="1">
      <alignment vertical="center"/>
    </xf>
    <xf numFmtId="164" fontId="4" fillId="3" borderId="1" xfId="0" applyFont="1" applyFill="1" applyBorder="1" applyAlignment="1">
      <alignment wrapText="1"/>
    </xf>
    <xf numFmtId="164" fontId="4" fillId="3" borderId="1" xfId="0" applyFont="1" applyFill="1" applyBorder="1" applyAlignment="1">
      <alignment horizontal="right" vertical="top" wrapText="1"/>
    </xf>
    <xf numFmtId="164" fontId="4" fillId="3" borderId="3" xfId="0" applyFont="1" applyFill="1" applyBorder="1" applyAlignment="1">
      <alignment horizontal="right" wrapText="1"/>
    </xf>
    <xf numFmtId="164" fontId="4" fillId="3" borderId="3" xfId="0" applyFont="1" applyFill="1" applyBorder="1" applyAlignment="1">
      <alignment horizontal="right"/>
    </xf>
    <xf numFmtId="164" fontId="1" fillId="3" borderId="3" xfId="0" applyFont="1" applyFill="1" applyBorder="1" applyAlignment="1">
      <alignment horizontal="right" vertical="top" wrapText="1"/>
    </xf>
    <xf numFmtId="164" fontId="4" fillId="3" borderId="1" xfId="0" applyFont="1" applyFill="1" applyBorder="1" applyAlignment="1">
      <alignment horizontal="center" vertical="top" wrapText="1"/>
    </xf>
    <xf numFmtId="164" fontId="4" fillId="3" borderId="1" xfId="0" applyFont="1" applyFill="1" applyBorder="1" applyAlignment="1">
      <alignment horizontal="right" vertical="center" wrapText="1"/>
    </xf>
    <xf numFmtId="164" fontId="4" fillId="3" borderId="3" xfId="0" applyFont="1" applyFill="1" applyBorder="1" applyAlignment="1">
      <alignment horizontal="right" vertical="center"/>
    </xf>
    <xf numFmtId="164" fontId="4" fillId="4" borderId="1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right" vertical="center"/>
    </xf>
    <xf numFmtId="164" fontId="1" fillId="4" borderId="1" xfId="0" applyFont="1" applyFill="1" applyBorder="1" applyAlignment="1">
      <alignment horizontal="left" vertical="center" wrapText="1"/>
    </xf>
    <xf numFmtId="164" fontId="1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top"/>
    </xf>
    <xf numFmtId="164" fontId="2" fillId="2" borderId="1" xfId="0" applyFont="1" applyFill="1" applyBorder="1" applyAlignment="1">
      <alignment vertical="center" wrapText="1"/>
    </xf>
    <xf numFmtId="164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top"/>
    </xf>
    <xf numFmtId="164" fontId="4" fillId="2" borderId="1" xfId="0" applyFont="1" applyFill="1" applyBorder="1" applyAlignment="1">
      <alignment vertical="center" wrapText="1"/>
    </xf>
    <xf numFmtId="164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169" fontId="2" fillId="2" borderId="1" xfId="0" applyNumberFormat="1" applyFont="1" applyFill="1" applyBorder="1" applyAlignment="1">
      <alignment horizontal="right" vertical="center"/>
    </xf>
    <xf numFmtId="165" fontId="2" fillId="0" borderId="0" xfId="0" applyNumberFormat="1" applyFont="1"/>
    <xf numFmtId="166" fontId="2" fillId="2" borderId="1" xfId="0" applyNumberFormat="1" applyFont="1" applyFill="1" applyBorder="1" applyAlignment="1">
      <alignment horizontal="right" vertical="center"/>
    </xf>
    <xf numFmtId="168" fontId="2" fillId="2" borderId="1" xfId="0" applyNumberFormat="1" applyFont="1" applyFill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right" vertical="top"/>
    </xf>
    <xf numFmtId="165" fontId="1" fillId="3" borderId="1" xfId="0" applyNumberFormat="1" applyFont="1" applyFill="1" applyBorder="1" applyAlignment="1">
      <alignment horizontal="right" vertical="top" wrapText="1"/>
    </xf>
    <xf numFmtId="164" fontId="2" fillId="5" borderId="1" xfId="0" applyFont="1" applyFill="1" applyBorder="1"/>
    <xf numFmtId="164" fontId="4" fillId="3" borderId="1" xfId="0" applyFont="1" applyFill="1" applyBorder="1" applyAlignment="1">
      <alignment horizontal="left" wrapText="1"/>
    </xf>
    <xf numFmtId="164" fontId="4" fillId="3" borderId="2" xfId="0" applyFont="1" applyFill="1" applyBorder="1" applyAlignment="1">
      <alignment horizontal="center" wrapText="1"/>
    </xf>
    <xf numFmtId="164" fontId="1" fillId="3" borderId="2" xfId="0" applyFont="1" applyFill="1" applyBorder="1" applyAlignment="1">
      <alignment horizontal="center" vertical="top" wrapText="1"/>
    </xf>
    <xf numFmtId="164" fontId="1" fillId="3" borderId="1" xfId="0" applyFont="1" applyFill="1" applyBorder="1" applyAlignment="1">
      <alignment vertical="center" wrapText="1"/>
    </xf>
    <xf numFmtId="164" fontId="4" fillId="6" borderId="1" xfId="0" applyFont="1" applyFill="1" applyBorder="1" applyAlignment="1">
      <alignment vertical="top" wrapText="1"/>
    </xf>
    <xf numFmtId="165" fontId="4" fillId="6" borderId="1" xfId="0" applyNumberFormat="1" applyFont="1" applyFill="1" applyBorder="1" applyAlignment="1">
      <alignment horizontal="right" vertical="center"/>
    </xf>
    <xf numFmtId="164" fontId="1" fillId="6" borderId="1" xfId="0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4" fontId="4" fillId="2" borderId="1" xfId="0" applyFont="1" applyFill="1" applyBorder="1" applyAlignment="1">
      <alignment horizontal="left" readingOrder="1"/>
    </xf>
    <xf numFmtId="168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top" wrapText="1"/>
    </xf>
    <xf numFmtId="165" fontId="2" fillId="2" borderId="1" xfId="0" applyNumberFormat="1" applyFont="1" applyFill="1" applyBorder="1" applyAlignment="1">
      <alignment vertical="top" wrapText="1"/>
    </xf>
    <xf numFmtId="167" fontId="1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horizontal="right" vertical="top"/>
    </xf>
    <xf numFmtId="167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69" fontId="0" fillId="0" borderId="0" xfId="0" applyNumberFormat="1"/>
    <xf numFmtId="164" fontId="6" fillId="7" borderId="4" xfId="0" applyFont="1" applyFill="1" applyBorder="1"/>
    <xf numFmtId="169" fontId="6" fillId="7" borderId="4" xfId="0" applyNumberFormat="1" applyFont="1" applyFill="1" applyBorder="1"/>
    <xf numFmtId="170" fontId="0" fillId="0" borderId="0" xfId="0" applyNumberFormat="1"/>
    <xf numFmtId="170" fontId="6" fillId="7" borderId="4" xfId="0" applyNumberFormat="1" applyFont="1" applyFill="1" applyBorder="1"/>
    <xf numFmtId="164" fontId="2" fillId="2" borderId="3" xfId="0" applyFont="1" applyFill="1" applyBorder="1"/>
    <xf numFmtId="164" fontId="2" fillId="2" borderId="3" xfId="0" applyFont="1" applyFill="1" applyBorder="1" applyAlignment="1">
      <alignment vertical="top"/>
    </xf>
    <xf numFmtId="164" fontId="2" fillId="2" borderId="3" xfId="0" applyFont="1" applyFill="1" applyBorder="1" applyAlignment="1">
      <alignment horizontal="right"/>
    </xf>
    <xf numFmtId="164" fontId="1" fillId="2" borderId="3" xfId="0" applyFont="1" applyFill="1" applyBorder="1" applyAlignment="1">
      <alignment vertical="center"/>
    </xf>
    <xf numFmtId="164" fontId="2" fillId="2" borderId="3" xfId="0" applyFont="1" applyFill="1" applyBorder="1" applyAlignment="1">
      <alignment vertical="center" wrapText="1"/>
    </xf>
    <xf numFmtId="164" fontId="4" fillId="2" borderId="3" xfId="0" applyFont="1" applyFill="1" applyBorder="1" applyAlignment="1">
      <alignment vertical="center" wrapText="1"/>
    </xf>
    <xf numFmtId="164" fontId="2" fillId="5" borderId="3" xfId="0" applyFont="1" applyFill="1" applyBorder="1"/>
    <xf numFmtId="164" fontId="1" fillId="2" borderId="2" xfId="0" applyFont="1" applyFill="1" applyBorder="1" applyAlignment="1">
      <alignment horizontal="center" vertical="top" wrapText="1"/>
    </xf>
    <xf numFmtId="0" fontId="5" fillId="0" borderId="3" xfId="0" applyNumberFormat="1" applyFont="1" applyBorder="1"/>
    <xf numFmtId="164" fontId="4" fillId="2" borderId="2" xfId="0" applyFont="1" applyFill="1" applyBorder="1" applyAlignment="1">
      <alignment horizontal="center" wrapText="1"/>
    </xf>
    <xf numFmtId="164" fontId="4" fillId="2" borderId="2" xfId="0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 vertical="top"/>
    </xf>
    <xf numFmtId="164" fontId="4" fillId="5" borderId="2" xfId="0" applyFont="1" applyFill="1" applyBorder="1" applyAlignment="1">
      <alignment horizontal="center" wrapText="1"/>
    </xf>
    <xf numFmtId="164" fontId="4" fillId="3" borderId="3" xfId="0" applyFont="1" applyFill="1" applyBorder="1" applyAlignment="1">
      <alignment horizontal="center" wrapText="1"/>
    </xf>
    <xf numFmtId="164" fontId="4" fillId="3" borderId="3" xfId="0" applyFont="1" applyFill="1" applyBorder="1" applyAlignment="1">
      <alignment horizontal="center"/>
    </xf>
    <xf numFmtId="164" fontId="1" fillId="3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542"/>
  <sheetViews>
    <sheetView tabSelected="1" view="pageBreakPreview" zoomScale="70" zoomScaleNormal="100" zoomScaleSheetLayoutView="70" workbookViewId="0">
      <selection activeCell="A2" sqref="A2:E2"/>
    </sheetView>
  </sheetViews>
  <sheetFormatPr defaultColWidth="14.42578125" defaultRowHeight="15" customHeight="1" x14ac:dyDescent="0.3"/>
  <cols>
    <col min="1" max="1" width="66.5703125" style="3" customWidth="1"/>
    <col min="2" max="2" width="40.85546875" style="3" customWidth="1"/>
    <col min="3" max="3" width="32.7109375" style="3" customWidth="1"/>
    <col min="4" max="4" width="37.7109375" style="3" customWidth="1"/>
    <col min="5" max="5" width="37.85546875" style="3" customWidth="1"/>
    <col min="6" max="6" width="9.140625" style="3" customWidth="1"/>
    <col min="7" max="9" width="19.85546875" style="3" customWidth="1"/>
    <col min="10" max="12" width="24.7109375" style="3" customWidth="1"/>
    <col min="13" max="13" width="18.42578125" style="3" customWidth="1"/>
    <col min="14" max="18" width="13.5703125" style="3" customWidth="1"/>
    <col min="19" max="26" width="9.140625" style="3" customWidth="1"/>
    <col min="27" max="16384" width="14.42578125" style="3"/>
  </cols>
  <sheetData>
    <row r="1" spans="1:26" ht="12" customHeight="1" x14ac:dyDescent="0.3">
      <c r="A1" s="1"/>
      <c r="B1" s="1"/>
      <c r="C1" s="1"/>
      <c r="D1" s="1"/>
      <c r="E1" s="1"/>
      <c r="F1" s="2"/>
      <c r="G1" s="2"/>
      <c r="H1" s="8"/>
      <c r="I1" s="8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75" t="s">
        <v>52</v>
      </c>
      <c r="B2" s="73"/>
      <c r="C2" s="73"/>
      <c r="D2" s="73"/>
      <c r="E2" s="73"/>
      <c r="F2" s="4"/>
      <c r="G2" s="4"/>
      <c r="H2" s="65"/>
      <c r="I2" s="6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2.5" customHeight="1" x14ac:dyDescent="0.3">
      <c r="A3" s="76" t="s">
        <v>53</v>
      </c>
      <c r="B3" s="73"/>
      <c r="C3" s="73"/>
      <c r="D3" s="73"/>
      <c r="E3" s="73"/>
      <c r="F3" s="5"/>
      <c r="G3" s="5"/>
      <c r="H3" s="66"/>
      <c r="I3" s="6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" customHeight="1" x14ac:dyDescent="0.3">
      <c r="A4" s="6"/>
      <c r="B4" s="2"/>
      <c r="C4" s="2"/>
      <c r="D4" s="2"/>
      <c r="E4" s="2"/>
      <c r="F4" s="2"/>
      <c r="G4" s="2"/>
      <c r="H4" s="8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" customHeight="1" x14ac:dyDescent="0.3">
      <c r="A5" s="7"/>
      <c r="B5" s="7"/>
      <c r="C5" s="7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34.5" customHeight="1" x14ac:dyDescent="0.3">
      <c r="A6" s="9" t="s">
        <v>0</v>
      </c>
      <c r="B6" s="10" t="s">
        <v>49</v>
      </c>
      <c r="C6" s="78" t="s">
        <v>50</v>
      </c>
      <c r="D6" s="79"/>
      <c r="E6" s="79"/>
      <c r="F6" s="11"/>
      <c r="G6" s="11"/>
      <c r="H6" s="67"/>
      <c r="I6" s="67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0" customHeight="1" x14ac:dyDescent="0.3">
      <c r="A7" s="7" t="s">
        <v>5</v>
      </c>
      <c r="B7" s="12" t="s">
        <v>12</v>
      </c>
      <c r="C7" s="80" t="s">
        <v>45</v>
      </c>
      <c r="D7" s="80"/>
      <c r="E7" s="80"/>
      <c r="F7" s="13"/>
      <c r="G7" s="13"/>
      <c r="H7" s="68"/>
      <c r="I7" s="68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21.75" customHeight="1" x14ac:dyDescent="0.3">
      <c r="A8" s="14"/>
      <c r="B8" s="15"/>
      <c r="C8" s="16" t="s">
        <v>15</v>
      </c>
      <c r="D8" s="16" t="s">
        <v>46</v>
      </c>
      <c r="E8" s="17" t="s">
        <v>51</v>
      </c>
      <c r="F8" s="4"/>
      <c r="G8" s="4"/>
      <c r="H8" s="65"/>
      <c r="I8" s="6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 customHeight="1" x14ac:dyDescent="0.3">
      <c r="A9" s="7"/>
      <c r="B9" s="12"/>
      <c r="C9" s="18" t="s">
        <v>6</v>
      </c>
      <c r="D9" s="18" t="s">
        <v>47</v>
      </c>
      <c r="E9" s="18" t="s">
        <v>48</v>
      </c>
      <c r="F9" s="13"/>
      <c r="G9" s="13"/>
      <c r="H9" s="68"/>
      <c r="I9" s="68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0" customHeight="1" x14ac:dyDescent="0.3">
      <c r="A10" s="19"/>
      <c r="B10" s="20"/>
      <c r="C10" s="21" t="s">
        <v>14</v>
      </c>
      <c r="D10" s="21" t="s">
        <v>14</v>
      </c>
      <c r="E10" s="21" t="s">
        <v>14</v>
      </c>
      <c r="F10" s="2"/>
      <c r="G10" s="2"/>
      <c r="H10" s="8"/>
      <c r="I10" s="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 x14ac:dyDescent="0.3">
      <c r="A11" s="22" t="s">
        <v>15</v>
      </c>
      <c r="B11" s="23">
        <f>B15+B17+B19+B21+B23+B25+B27+B29+B31+B33+B35+B37+B39+B41+B43+B45+B47</f>
        <v>3007</v>
      </c>
      <c r="C11" s="23">
        <f>C15+C17+C19+C21+C23+C25+C27+C29+C31+C33+C35+C37+C39+C41+C43+C45+C47</f>
        <v>12813025.300217517</v>
      </c>
      <c r="D11" s="23">
        <f t="shared" ref="D11:E11" si="0">D15+D17+D19+D21+D23+D25+D27+D29+D31+D33+D35+D37+D39+D41+D43+D45+D47</f>
        <v>8091042.3086964823</v>
      </c>
      <c r="E11" s="23">
        <f t="shared" si="0"/>
        <v>4721000.286700651</v>
      </c>
      <c r="F11" s="2"/>
      <c r="G11" s="2"/>
      <c r="H11" s="8"/>
      <c r="I11" s="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 x14ac:dyDescent="0.3">
      <c r="A12" s="24" t="s">
        <v>6</v>
      </c>
      <c r="B12" s="23"/>
      <c r="C12" s="23"/>
      <c r="D12" s="23"/>
      <c r="E12" s="23"/>
      <c r="F12" s="2"/>
      <c r="G12" s="2"/>
      <c r="H12" s="8"/>
      <c r="I12" s="8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" customHeight="1" x14ac:dyDescent="0.3">
      <c r="A13" s="25"/>
      <c r="B13" s="26"/>
      <c r="C13" s="26"/>
      <c r="D13" s="26"/>
      <c r="E13" s="26"/>
      <c r="F13" s="27"/>
      <c r="G13" s="27"/>
      <c r="H13" s="69"/>
      <c r="I13" s="69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9" customHeight="1" x14ac:dyDescent="0.3">
      <c r="A14" s="28"/>
      <c r="B14" s="29"/>
      <c r="C14" s="29"/>
      <c r="D14" s="29"/>
      <c r="E14" s="29"/>
      <c r="F14" s="30"/>
      <c r="G14" s="30"/>
      <c r="H14" s="70"/>
      <c r="I14" s="7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21.75" customHeight="1" x14ac:dyDescent="0.3">
      <c r="A15" s="31" t="s">
        <v>16</v>
      </c>
      <c r="B15" s="32">
        <f>I15</f>
        <v>681</v>
      </c>
      <c r="C15" s="33">
        <f>J15/1000</f>
        <v>1784357.9595400053</v>
      </c>
      <c r="D15" s="33">
        <f>K15/1000</f>
        <v>1356766.8275474699</v>
      </c>
      <c r="E15" s="33">
        <f>L15/1000</f>
        <v>427584.5417770911</v>
      </c>
      <c r="F15" s="30"/>
      <c r="G15" s="34"/>
      <c r="H15" t="s">
        <v>54</v>
      </c>
      <c r="I15" s="60">
        <v>681</v>
      </c>
      <c r="J15" s="63">
        <v>1784357959.5400052</v>
      </c>
      <c r="K15" s="63">
        <v>1356766827.5474699</v>
      </c>
      <c r="L15" s="63">
        <v>427584541.77709109</v>
      </c>
      <c r="N15" s="35"/>
      <c r="O15" s="34"/>
      <c r="P15" s="34"/>
      <c r="Q15" s="34"/>
      <c r="R15" s="34"/>
      <c r="S15" s="30"/>
      <c r="T15" s="30"/>
      <c r="U15" s="30"/>
      <c r="V15" s="30"/>
      <c r="W15" s="30"/>
      <c r="X15" s="30"/>
      <c r="Y15" s="30"/>
      <c r="Z15" s="30"/>
    </row>
    <row r="16" spans="1:26" ht="9" customHeight="1" x14ac:dyDescent="0.3">
      <c r="A16" s="28"/>
      <c r="B16" s="32"/>
      <c r="C16" s="33"/>
      <c r="D16" s="33"/>
      <c r="E16" s="33"/>
      <c r="F16" s="30"/>
      <c r="G16" s="30"/>
      <c r="H16" s="70"/>
      <c r="I16" s="60"/>
      <c r="J16" s="63"/>
      <c r="K16" s="63"/>
      <c r="L16" s="63"/>
      <c r="N16" s="29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21.75" customHeight="1" x14ac:dyDescent="0.3">
      <c r="A17" s="31" t="s">
        <v>17</v>
      </c>
      <c r="B17" s="32">
        <f t="shared" ref="B17:B41" si="1">I17</f>
        <v>104</v>
      </c>
      <c r="C17" s="33">
        <f>J17/1000</f>
        <v>772630.33768679528</v>
      </c>
      <c r="D17" s="33">
        <f t="shared" ref="D17:D41" si="2">K17/1000</f>
        <v>689762.8495711846</v>
      </c>
      <c r="E17" s="33">
        <f t="shared" ref="E17:E41" si="3">L17/1000</f>
        <v>82867.488115610686</v>
      </c>
      <c r="F17" s="30"/>
      <c r="G17" s="34"/>
      <c r="H17" t="s">
        <v>55</v>
      </c>
      <c r="I17" s="60">
        <v>104</v>
      </c>
      <c r="J17" s="63">
        <v>772630337.68679523</v>
      </c>
      <c r="K17" s="63">
        <v>689762849.57118464</v>
      </c>
      <c r="L17" s="63">
        <v>82867488.115610689</v>
      </c>
      <c r="N17" s="35"/>
      <c r="O17" s="34"/>
      <c r="P17" s="34"/>
      <c r="Q17" s="34"/>
      <c r="R17" s="34"/>
      <c r="S17" s="30"/>
      <c r="T17" s="30"/>
      <c r="U17" s="30"/>
      <c r="V17" s="30"/>
      <c r="W17" s="30"/>
      <c r="X17" s="30"/>
      <c r="Y17" s="30"/>
      <c r="Z17" s="30"/>
    </row>
    <row r="18" spans="1:26" ht="9" customHeight="1" x14ac:dyDescent="0.3">
      <c r="A18" s="28"/>
      <c r="B18" s="32"/>
      <c r="C18" s="33"/>
      <c r="D18" s="33"/>
      <c r="E18" s="33"/>
      <c r="F18" s="30"/>
      <c r="G18" s="30"/>
      <c r="H18" s="70"/>
      <c r="I18" s="60"/>
      <c r="J18" s="63"/>
      <c r="K18" s="63"/>
      <c r="L18" s="63"/>
      <c r="N18" s="29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21.75" customHeight="1" x14ac:dyDescent="0.3">
      <c r="A19" s="31" t="s">
        <v>18</v>
      </c>
      <c r="B19" s="32">
        <f t="shared" si="1"/>
        <v>10</v>
      </c>
      <c r="C19" s="33">
        <f>J19/1000</f>
        <v>13818.969844522489</v>
      </c>
      <c r="D19" s="33">
        <f t="shared" si="2"/>
        <v>8724.2933570785881</v>
      </c>
      <c r="E19" s="33">
        <f t="shared" si="3"/>
        <v>5094.6764874439014</v>
      </c>
      <c r="F19" s="30"/>
      <c r="G19" s="34"/>
      <c r="H19" t="s">
        <v>56</v>
      </c>
      <c r="I19" s="60">
        <v>10</v>
      </c>
      <c r="J19" s="63">
        <v>13818969.844522489</v>
      </c>
      <c r="K19" s="63">
        <v>8724293.3570785876</v>
      </c>
      <c r="L19" s="63">
        <v>5094676.4874439016</v>
      </c>
      <c r="N19" s="36"/>
      <c r="O19" s="34"/>
      <c r="P19" s="34"/>
      <c r="Q19" s="34"/>
      <c r="R19" s="34"/>
      <c r="S19" s="30"/>
      <c r="T19" s="30"/>
      <c r="U19" s="30"/>
      <c r="V19" s="30"/>
      <c r="W19" s="30"/>
      <c r="X19" s="30"/>
      <c r="Y19" s="30"/>
      <c r="Z19" s="30"/>
    </row>
    <row r="20" spans="1:26" ht="9" customHeight="1" x14ac:dyDescent="0.3">
      <c r="A20" s="28"/>
      <c r="B20" s="32"/>
      <c r="C20" s="33"/>
      <c r="D20" s="33"/>
      <c r="E20" s="33"/>
      <c r="F20" s="30"/>
      <c r="G20" s="30"/>
      <c r="H20" s="70"/>
      <c r="I20" s="60"/>
      <c r="J20" s="63"/>
      <c r="K20" s="63"/>
      <c r="L20" s="63"/>
      <c r="N20" s="29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21.75" customHeight="1" x14ac:dyDescent="0.3">
      <c r="A21" s="31" t="s">
        <v>19</v>
      </c>
      <c r="B21" s="32">
        <f t="shared" si="1"/>
        <v>71</v>
      </c>
      <c r="C21" s="33">
        <f>J21/1000</f>
        <v>711566.56213636755</v>
      </c>
      <c r="D21" s="33">
        <f t="shared" si="2"/>
        <v>405301.79865798925</v>
      </c>
      <c r="E21" s="33">
        <f t="shared" si="3"/>
        <v>306264.76347837847</v>
      </c>
      <c r="F21" s="30"/>
      <c r="G21" s="34"/>
      <c r="H21" t="s">
        <v>57</v>
      </c>
      <c r="I21" s="60">
        <v>71</v>
      </c>
      <c r="J21" s="63">
        <v>711566562.13636756</v>
      </c>
      <c r="K21" s="63">
        <v>405301798.65798926</v>
      </c>
      <c r="L21" s="63">
        <v>306264763.47837847</v>
      </c>
      <c r="N21" s="35"/>
      <c r="O21" s="34"/>
      <c r="P21" s="34"/>
      <c r="Q21" s="34"/>
      <c r="R21" s="34"/>
      <c r="S21" s="30"/>
      <c r="T21" s="30"/>
      <c r="U21" s="30"/>
      <c r="V21" s="30"/>
      <c r="W21" s="30"/>
      <c r="X21" s="30"/>
      <c r="Y21" s="30"/>
      <c r="Z21" s="30"/>
    </row>
    <row r="22" spans="1:26" ht="9" customHeight="1" x14ac:dyDescent="0.3">
      <c r="A22" s="28"/>
      <c r="B22" s="32"/>
      <c r="C22" s="33"/>
      <c r="D22" s="33"/>
      <c r="E22" s="33"/>
      <c r="F22" s="30"/>
      <c r="G22" s="30"/>
      <c r="H22" s="70"/>
      <c r="I22" s="60"/>
      <c r="J22" s="63"/>
      <c r="K22" s="63"/>
      <c r="L22" s="63"/>
      <c r="N22" s="29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21.75" customHeight="1" x14ac:dyDescent="0.3">
      <c r="A23" s="31" t="s">
        <v>20</v>
      </c>
      <c r="B23" s="32">
        <f t="shared" si="1"/>
        <v>96</v>
      </c>
      <c r="C23" s="33">
        <f>J23/1000</f>
        <v>443284.4961453827</v>
      </c>
      <c r="D23" s="33">
        <f t="shared" si="2"/>
        <v>301645.73635321605</v>
      </c>
      <c r="E23" s="33">
        <f t="shared" si="3"/>
        <v>141638.75979216665</v>
      </c>
      <c r="F23" s="30"/>
      <c r="G23" s="34"/>
      <c r="H23" t="s">
        <v>58</v>
      </c>
      <c r="I23" s="60">
        <v>96</v>
      </c>
      <c r="J23" s="63">
        <v>443284496.1453827</v>
      </c>
      <c r="K23" s="63">
        <v>301645736.35321605</v>
      </c>
      <c r="L23" s="63">
        <v>141638759.79216665</v>
      </c>
      <c r="N23" s="35"/>
      <c r="O23" s="34"/>
      <c r="P23" s="34"/>
      <c r="Q23" s="34"/>
      <c r="R23" s="34"/>
      <c r="S23" s="30"/>
      <c r="T23" s="30"/>
      <c r="U23" s="30"/>
      <c r="V23" s="30"/>
      <c r="W23" s="30"/>
      <c r="X23" s="30"/>
      <c r="Y23" s="30"/>
      <c r="Z23" s="30"/>
    </row>
    <row r="24" spans="1:26" ht="9" customHeight="1" x14ac:dyDescent="0.3">
      <c r="A24" s="28"/>
      <c r="B24" s="32"/>
      <c r="C24" s="33"/>
      <c r="D24" s="33"/>
      <c r="E24" s="33"/>
      <c r="F24" s="30"/>
      <c r="G24" s="30"/>
      <c r="H24" s="70"/>
      <c r="I24" s="60"/>
      <c r="J24" s="63"/>
      <c r="K24" s="63"/>
      <c r="L24" s="63"/>
      <c r="N24" s="29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21.75" customHeight="1" x14ac:dyDescent="0.3">
      <c r="A25" s="31" t="s">
        <v>21</v>
      </c>
      <c r="B25" s="32">
        <f t="shared" si="1"/>
        <v>53</v>
      </c>
      <c r="C25" s="33">
        <f>J25/1000</f>
        <v>550340.41437722417</v>
      </c>
      <c r="D25" s="33">
        <f t="shared" si="2"/>
        <v>475557.09432782204</v>
      </c>
      <c r="E25" s="33">
        <f t="shared" si="3"/>
        <v>74783.320049402493</v>
      </c>
      <c r="F25" s="30"/>
      <c r="G25" s="34"/>
      <c r="H25" t="s">
        <v>59</v>
      </c>
      <c r="I25" s="60">
        <v>53</v>
      </c>
      <c r="J25" s="63">
        <v>550340414.37722421</v>
      </c>
      <c r="K25" s="63">
        <v>475557094.32782203</v>
      </c>
      <c r="L25" s="63">
        <v>74783320.04940249</v>
      </c>
      <c r="N25" s="35"/>
      <c r="O25" s="34"/>
      <c r="P25" s="34"/>
      <c r="Q25" s="34"/>
      <c r="R25" s="34"/>
      <c r="S25" s="30"/>
      <c r="T25" s="30"/>
      <c r="U25" s="30"/>
      <c r="V25" s="30"/>
      <c r="W25" s="30"/>
      <c r="X25" s="30"/>
      <c r="Y25" s="30"/>
      <c r="Z25" s="30"/>
    </row>
    <row r="26" spans="1:26" ht="9" customHeight="1" x14ac:dyDescent="0.3">
      <c r="A26" s="28"/>
      <c r="B26" s="32"/>
      <c r="C26" s="33"/>
      <c r="D26" s="33"/>
      <c r="E26" s="33"/>
      <c r="F26" s="30"/>
      <c r="G26" s="30"/>
      <c r="H26" s="70"/>
      <c r="I26" s="60"/>
      <c r="J26" s="63"/>
      <c r="K26" s="63"/>
      <c r="L26" s="63"/>
      <c r="N26" s="29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21.75" customHeight="1" x14ac:dyDescent="0.3">
      <c r="A27" s="31" t="s">
        <v>22</v>
      </c>
      <c r="B27" s="32">
        <f t="shared" si="1"/>
        <v>283</v>
      </c>
      <c r="C27" s="33">
        <f>J27/1000</f>
        <v>1832054.9252057313</v>
      </c>
      <c r="D27" s="33">
        <f t="shared" si="2"/>
        <v>1395294.195538077</v>
      </c>
      <c r="E27" s="33">
        <f t="shared" si="3"/>
        <v>436760.72966765391</v>
      </c>
      <c r="F27" s="30"/>
      <c r="G27" s="34"/>
      <c r="H27" t="s">
        <v>60</v>
      </c>
      <c r="I27" s="60">
        <v>283</v>
      </c>
      <c r="J27" s="63">
        <v>1832054925.2057314</v>
      </c>
      <c r="K27" s="63">
        <v>1395294195.5380771</v>
      </c>
      <c r="L27" s="63">
        <v>436760729.66765392</v>
      </c>
      <c r="N27" s="35"/>
      <c r="O27" s="34"/>
      <c r="P27" s="34"/>
      <c r="Q27" s="34"/>
      <c r="R27" s="34"/>
      <c r="S27" s="30"/>
      <c r="T27" s="30"/>
      <c r="U27" s="30"/>
      <c r="V27" s="30"/>
      <c r="W27" s="30"/>
      <c r="X27" s="30"/>
      <c r="Y27" s="30"/>
      <c r="Z27" s="30"/>
    </row>
    <row r="28" spans="1:26" ht="9" customHeight="1" x14ac:dyDescent="0.3">
      <c r="A28" s="28"/>
      <c r="B28" s="32"/>
      <c r="C28" s="33"/>
      <c r="D28" s="33"/>
      <c r="E28" s="33"/>
      <c r="F28" s="30"/>
      <c r="G28" s="30"/>
      <c r="H28" s="70"/>
      <c r="I28" s="60"/>
      <c r="J28" s="63"/>
      <c r="K28" s="63"/>
      <c r="L28" s="63"/>
      <c r="N28" s="29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21.75" customHeight="1" x14ac:dyDescent="0.3">
      <c r="A29" s="31" t="s">
        <v>23</v>
      </c>
      <c r="B29" s="32">
        <f t="shared" si="1"/>
        <v>121</v>
      </c>
      <c r="C29" s="33">
        <f>J29/1000</f>
        <v>298957.31425221299</v>
      </c>
      <c r="D29" s="33">
        <f t="shared" si="2"/>
        <v>207998.92701303741</v>
      </c>
      <c r="E29" s="33">
        <f t="shared" si="3"/>
        <v>89982.272634237976</v>
      </c>
      <c r="F29" s="30"/>
      <c r="G29" s="34"/>
      <c r="H29" t="s">
        <v>61</v>
      </c>
      <c r="I29" s="60">
        <v>121</v>
      </c>
      <c r="J29" s="63">
        <v>298957314.252213</v>
      </c>
      <c r="K29" s="63">
        <v>207998927.01303741</v>
      </c>
      <c r="L29" s="63">
        <v>89982272.634237975</v>
      </c>
      <c r="N29" s="35"/>
      <c r="O29" s="34"/>
      <c r="P29" s="34"/>
      <c r="Q29" s="34"/>
      <c r="R29" s="34"/>
      <c r="S29" s="30"/>
      <c r="T29" s="30"/>
      <c r="U29" s="30"/>
      <c r="V29" s="30"/>
      <c r="W29" s="30"/>
      <c r="X29" s="30"/>
      <c r="Y29" s="30"/>
      <c r="Z29" s="30"/>
    </row>
    <row r="30" spans="1:26" ht="9" customHeight="1" x14ac:dyDescent="0.3">
      <c r="A30" s="28"/>
      <c r="B30" s="32"/>
      <c r="C30" s="33"/>
      <c r="D30" s="33"/>
      <c r="E30" s="33"/>
      <c r="F30" s="30"/>
      <c r="G30" s="30"/>
      <c r="H30" s="70"/>
      <c r="I30" s="60"/>
      <c r="J30" s="63"/>
      <c r="K30" s="63"/>
      <c r="L30" s="63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21.75" customHeight="1" x14ac:dyDescent="0.3">
      <c r="A31" s="31" t="s">
        <v>24</v>
      </c>
      <c r="B31" s="32">
        <f t="shared" si="1"/>
        <v>3</v>
      </c>
      <c r="C31" s="33">
        <f>J31/1000</f>
        <v>15339.384640447952</v>
      </c>
      <c r="D31" s="33">
        <f t="shared" si="2"/>
        <v>8265.5759026933865</v>
      </c>
      <c r="E31" s="33">
        <f t="shared" si="3"/>
        <v>7073.8087377545653</v>
      </c>
      <c r="F31" s="30"/>
      <c r="G31" s="34"/>
      <c r="H31" t="s">
        <v>62</v>
      </c>
      <c r="I31" s="60">
        <v>3</v>
      </c>
      <c r="J31" s="63">
        <v>15339384.640447952</v>
      </c>
      <c r="K31" s="63">
        <v>8265575.9026933862</v>
      </c>
      <c r="L31" s="63">
        <v>7073808.7377545657</v>
      </c>
      <c r="N31" s="35"/>
      <c r="O31" s="34"/>
      <c r="P31" s="34"/>
      <c r="Q31" s="34"/>
      <c r="R31" s="34"/>
      <c r="S31" s="30"/>
      <c r="T31" s="30"/>
      <c r="U31" s="30"/>
      <c r="V31" s="30"/>
      <c r="W31" s="30"/>
      <c r="X31" s="30"/>
      <c r="Y31" s="30"/>
      <c r="Z31" s="30"/>
    </row>
    <row r="32" spans="1:26" ht="9" customHeight="1" x14ac:dyDescent="0.3">
      <c r="A32" s="28"/>
      <c r="B32" s="32"/>
      <c r="C32" s="33"/>
      <c r="D32" s="33"/>
      <c r="E32" s="33"/>
      <c r="F32" s="30"/>
      <c r="G32" s="30"/>
      <c r="H32" s="70"/>
      <c r="I32" s="60"/>
      <c r="J32" s="63"/>
      <c r="K32" s="63"/>
      <c r="L32" s="63"/>
      <c r="N32" s="29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21.75" customHeight="1" x14ac:dyDescent="0.3">
      <c r="A33" s="31" t="s">
        <v>25</v>
      </c>
      <c r="B33" s="32">
        <f t="shared" si="1"/>
        <v>1210</v>
      </c>
      <c r="C33" s="33">
        <f>J33/1000</f>
        <v>2589042.377886347</v>
      </c>
      <c r="D33" s="33">
        <f t="shared" si="2"/>
        <v>1581252.2055410785</v>
      </c>
      <c r="E33" s="33">
        <f t="shared" si="3"/>
        <v>1007790.1723452661</v>
      </c>
      <c r="F33" s="30"/>
      <c r="G33" s="30"/>
      <c r="H33" t="s">
        <v>63</v>
      </c>
      <c r="I33" s="60">
        <v>1210</v>
      </c>
      <c r="J33" s="63">
        <v>2589042377.8863468</v>
      </c>
      <c r="K33" s="63">
        <v>1581252205.5410786</v>
      </c>
      <c r="L33" s="63">
        <v>1007790172.3452661</v>
      </c>
      <c r="N33" s="35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9" customHeight="1" x14ac:dyDescent="0.3">
      <c r="A34" s="28"/>
      <c r="B34" s="32"/>
      <c r="C34" s="33"/>
      <c r="D34" s="33"/>
      <c r="E34" s="33"/>
      <c r="F34" s="30"/>
      <c r="G34" s="30"/>
      <c r="H34" s="70"/>
      <c r="I34" s="60"/>
      <c r="J34" s="63"/>
      <c r="K34" s="63"/>
      <c r="L34" s="63"/>
      <c r="N34" s="29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21.75" customHeight="1" x14ac:dyDescent="0.3">
      <c r="A35" s="31" t="s">
        <v>26</v>
      </c>
      <c r="B35" s="32">
        <f t="shared" si="1"/>
        <v>25</v>
      </c>
      <c r="C35" s="33">
        <f>J35/1000</f>
        <v>400350.44060855958</v>
      </c>
      <c r="D35" s="33">
        <f t="shared" si="2"/>
        <v>212609.94418113449</v>
      </c>
      <c r="E35" s="33">
        <f t="shared" si="3"/>
        <v>187740.4964274251</v>
      </c>
      <c r="F35" s="30"/>
      <c r="G35" s="30"/>
      <c r="H35" t="s">
        <v>64</v>
      </c>
      <c r="I35" s="60">
        <v>25</v>
      </c>
      <c r="J35" s="63">
        <v>400350440.60855961</v>
      </c>
      <c r="K35" s="63">
        <v>212609944.18113449</v>
      </c>
      <c r="L35" s="63">
        <v>187740496.42742509</v>
      </c>
      <c r="N35" s="35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9" customHeight="1" x14ac:dyDescent="0.3">
      <c r="A36" s="28"/>
      <c r="B36" s="32"/>
      <c r="C36" s="33"/>
      <c r="D36" s="33"/>
      <c r="E36" s="33"/>
      <c r="F36" s="30"/>
      <c r="G36" s="30"/>
      <c r="H36" s="70"/>
      <c r="I36" s="60"/>
      <c r="J36" s="63"/>
      <c r="K36" s="63"/>
      <c r="L36" s="63"/>
      <c r="N36" s="2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21.75" customHeight="1" x14ac:dyDescent="0.3">
      <c r="A37" s="31" t="s">
        <v>27</v>
      </c>
      <c r="B37" s="32">
        <f t="shared" si="1"/>
        <v>67</v>
      </c>
      <c r="C37" s="33">
        <f>J37/1000</f>
        <v>212975.43047691681</v>
      </c>
      <c r="D37" s="33">
        <f t="shared" si="2"/>
        <v>114106.14527255672</v>
      </c>
      <c r="E37" s="33">
        <f t="shared" si="3"/>
        <v>98869.28520436016</v>
      </c>
      <c r="F37" s="30"/>
      <c r="G37" s="30"/>
      <c r="H37" t="s">
        <v>65</v>
      </c>
      <c r="I37" s="60">
        <v>67</v>
      </c>
      <c r="J37" s="63">
        <v>212975430.47691682</v>
      </c>
      <c r="K37" s="63">
        <v>114106145.27255672</v>
      </c>
      <c r="L37" s="63">
        <v>98869285.204360157</v>
      </c>
      <c r="N37" s="35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9" customHeight="1" x14ac:dyDescent="0.3">
      <c r="A38" s="28"/>
      <c r="B38" s="32"/>
      <c r="C38" s="33"/>
      <c r="D38" s="33"/>
      <c r="E38" s="33"/>
      <c r="F38" s="30"/>
      <c r="G38" s="30"/>
      <c r="H38" s="70"/>
      <c r="I38" s="60"/>
      <c r="J38" s="63"/>
      <c r="K38" s="63"/>
      <c r="L38" s="63"/>
      <c r="N38" s="2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21.75" customHeight="1" x14ac:dyDescent="0.3">
      <c r="A39" s="31" t="s">
        <v>28</v>
      </c>
      <c r="B39" s="32">
        <f t="shared" si="1"/>
        <v>103</v>
      </c>
      <c r="C39" s="33">
        <f>J39/1000</f>
        <v>576694.91743519669</v>
      </c>
      <c r="D39" s="33">
        <f t="shared" si="2"/>
        <v>358855.55622072984</v>
      </c>
      <c r="E39" s="33">
        <f t="shared" si="3"/>
        <v>217839.36121446671</v>
      </c>
      <c r="F39" s="30"/>
      <c r="G39" s="30"/>
      <c r="H39" t="s">
        <v>66</v>
      </c>
      <c r="I39" s="60">
        <v>103</v>
      </c>
      <c r="J39" s="63">
        <v>576694917.43519664</v>
      </c>
      <c r="K39" s="63">
        <v>358855556.22072983</v>
      </c>
      <c r="L39" s="63">
        <v>217839361.21446672</v>
      </c>
      <c r="N39" s="35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9" customHeight="1" x14ac:dyDescent="0.3">
      <c r="A40" s="28"/>
      <c r="B40" s="32"/>
      <c r="C40" s="33"/>
      <c r="D40" s="33"/>
      <c r="E40" s="33"/>
      <c r="F40" s="30"/>
      <c r="G40" s="30"/>
      <c r="H40" s="70"/>
      <c r="I40" s="60"/>
      <c r="J40" s="63"/>
      <c r="K40" s="63"/>
      <c r="L40" s="63"/>
      <c r="N40" s="2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21.75" customHeight="1" x14ac:dyDescent="0.3">
      <c r="A41" s="31" t="s">
        <v>29</v>
      </c>
      <c r="B41" s="32">
        <f t="shared" si="1"/>
        <v>168</v>
      </c>
      <c r="C41" s="33">
        <f>J41/1000</f>
        <v>2171209.6534408662</v>
      </c>
      <c r="D41" s="33">
        <f t="shared" si="2"/>
        <v>674393.99109708169</v>
      </c>
      <c r="E41" s="33">
        <f t="shared" si="3"/>
        <v>1496815.662343784</v>
      </c>
      <c r="F41" s="30"/>
      <c r="G41" s="30"/>
      <c r="H41" t="s">
        <v>67</v>
      </c>
      <c r="I41" s="60">
        <v>168</v>
      </c>
      <c r="J41" s="63">
        <v>2171209653.440866</v>
      </c>
      <c r="K41" s="63">
        <v>674393991.09708166</v>
      </c>
      <c r="L41" s="63">
        <v>1496815662.3437841</v>
      </c>
      <c r="N41" s="35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9" customHeight="1" x14ac:dyDescent="0.3">
      <c r="A42" s="28"/>
      <c r="B42" s="32"/>
      <c r="C42" s="33"/>
      <c r="D42" s="33"/>
      <c r="E42" s="33"/>
      <c r="F42" s="30"/>
      <c r="G42" s="30"/>
      <c r="H42" s="70"/>
      <c r="I42" s="60"/>
      <c r="J42" s="63"/>
      <c r="K42" s="63"/>
      <c r="L42" s="63"/>
      <c r="N42" s="2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21.75" customHeight="1" x14ac:dyDescent="0.3">
      <c r="A43" s="31" t="s">
        <v>30</v>
      </c>
      <c r="B43" s="32">
        <f>I43</f>
        <v>4</v>
      </c>
      <c r="C43" s="32">
        <f>J43/1000</f>
        <v>22934.124051137707</v>
      </c>
      <c r="D43" s="32">
        <f>K43/1000</f>
        <v>12169.051658589979</v>
      </c>
      <c r="E43" s="32">
        <f>L43/1000</f>
        <v>10765.072392547729</v>
      </c>
      <c r="F43" s="30"/>
      <c r="G43" s="30"/>
      <c r="H43" t="s">
        <v>68</v>
      </c>
      <c r="I43" s="60">
        <v>4</v>
      </c>
      <c r="J43" s="63">
        <v>22934124.051137708</v>
      </c>
      <c r="K43" s="63">
        <v>12169051.658589978</v>
      </c>
      <c r="L43" s="63">
        <v>10765072.392547728</v>
      </c>
      <c r="N43" s="35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9" customHeight="1" x14ac:dyDescent="0.3">
      <c r="A44" s="28"/>
      <c r="B44" s="32"/>
      <c r="C44" s="32"/>
      <c r="D44" s="32"/>
      <c r="E44" s="32"/>
      <c r="F44" s="30"/>
      <c r="G44" s="30"/>
      <c r="H44" s="70"/>
      <c r="I44" s="60"/>
      <c r="J44" s="63"/>
      <c r="K44" s="63"/>
      <c r="L44" s="63"/>
      <c r="N44" s="2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21.75" customHeight="1" x14ac:dyDescent="0.3">
      <c r="A45" s="31" t="s">
        <v>31</v>
      </c>
      <c r="B45" s="32">
        <f t="shared" ref="B45:B47" si="4">I45</f>
        <v>4</v>
      </c>
      <c r="C45" s="32">
        <f t="shared" ref="C45:C47" si="5">J45/1000</f>
        <v>250.98147018272604</v>
      </c>
      <c r="D45" s="32">
        <f t="shared" ref="D45:D47" si="6">K45/1000</f>
        <v>250.98147018272604</v>
      </c>
      <c r="E45" s="32">
        <v>0</v>
      </c>
      <c r="F45" s="30"/>
      <c r="G45" s="30"/>
      <c r="H45" t="s">
        <v>69</v>
      </c>
      <c r="I45" s="60">
        <v>4</v>
      </c>
      <c r="J45" s="63">
        <v>250981.47018272604</v>
      </c>
      <c r="K45" s="63">
        <v>250981.47018272604</v>
      </c>
      <c r="L45" s="63">
        <v>0</v>
      </c>
      <c r="N45" s="36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6" customHeight="1" x14ac:dyDescent="0.3">
      <c r="A46" s="28"/>
      <c r="B46" s="32"/>
      <c r="C46" s="32"/>
      <c r="D46" s="32"/>
      <c r="E46" s="32"/>
      <c r="F46" s="30"/>
      <c r="G46" s="30"/>
      <c r="H46" s="70"/>
      <c r="I46" s="60"/>
      <c r="J46" s="63"/>
      <c r="K46" s="63"/>
      <c r="L46" s="63"/>
      <c r="N46" s="2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21" customHeight="1" x14ac:dyDescent="0.3">
      <c r="A47" s="38" t="s">
        <v>32</v>
      </c>
      <c r="B47" s="32">
        <f t="shared" si="4"/>
        <v>4</v>
      </c>
      <c r="C47" s="32">
        <f t="shared" si="5"/>
        <v>417217.01101962168</v>
      </c>
      <c r="D47" s="32">
        <f t="shared" si="6"/>
        <v>288087.13498656038</v>
      </c>
      <c r="E47" s="32">
        <f t="shared" ref="E47" si="7">L47/1000</f>
        <v>129129.8760330613</v>
      </c>
      <c r="F47" s="30"/>
      <c r="G47" s="30"/>
      <c r="H47" t="s">
        <v>70</v>
      </c>
      <c r="I47" s="60">
        <v>4</v>
      </c>
      <c r="J47" s="63">
        <v>417217011.01962167</v>
      </c>
      <c r="K47" s="63">
        <v>288087134.9865604</v>
      </c>
      <c r="L47" s="63">
        <v>129129876.0330613</v>
      </c>
      <c r="N47" s="3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9" customHeight="1" x14ac:dyDescent="0.3">
      <c r="A48" s="28"/>
      <c r="B48" s="29"/>
      <c r="C48" s="29"/>
      <c r="D48" s="29"/>
      <c r="E48" s="29"/>
      <c r="F48" s="30"/>
      <c r="G48" s="30"/>
      <c r="H48" s="70"/>
      <c r="I48" s="60"/>
      <c r="J48" s="63"/>
      <c r="K48" s="63"/>
      <c r="L48" s="63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9" customHeight="1" x14ac:dyDescent="0.3">
      <c r="A49" s="25"/>
      <c r="B49" s="40"/>
      <c r="C49" s="40"/>
      <c r="D49" s="40"/>
      <c r="E49" s="40"/>
      <c r="F49" s="2"/>
      <c r="G49" s="2"/>
      <c r="H49" s="8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6"/>
      <c r="B50" s="2"/>
      <c r="C50" s="2"/>
      <c r="D50" s="2"/>
      <c r="E50" s="2"/>
      <c r="F50" s="2"/>
      <c r="G50" s="2"/>
      <c r="H50" s="8"/>
      <c r="I50" s="62">
        <v>3007</v>
      </c>
      <c r="J50" s="64">
        <v>12813025300.217539</v>
      </c>
      <c r="K50" s="64">
        <v>8091042308.6964741</v>
      </c>
      <c r="L50" s="64">
        <v>4721000286.7006512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hidden="1" customHeight="1" x14ac:dyDescent="0.3">
      <c r="A51" s="77" t="s">
        <v>33</v>
      </c>
      <c r="B51" s="73"/>
      <c r="C51" s="73"/>
      <c r="D51" s="73"/>
      <c r="E51" s="73"/>
      <c r="F51" s="41"/>
      <c r="G51" s="41"/>
      <c r="H51" s="71"/>
      <c r="I51" s="70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22.5" hidden="1" customHeight="1" x14ac:dyDescent="0.3">
      <c r="A52" s="72" t="s">
        <v>34</v>
      </c>
      <c r="B52" s="73"/>
      <c r="C52" s="73"/>
      <c r="D52" s="73"/>
      <c r="E52" s="73"/>
      <c r="F52" s="5"/>
      <c r="G52" s="5"/>
      <c r="H52" s="66"/>
      <c r="I52" s="60"/>
      <c r="J52" s="63"/>
      <c r="K52" s="63"/>
      <c r="L52" s="63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" hidden="1" customHeight="1" x14ac:dyDescent="0.3">
      <c r="A53" s="6"/>
      <c r="B53" s="2"/>
      <c r="C53" s="2"/>
      <c r="D53" s="2"/>
      <c r="E53" s="2"/>
      <c r="F53" s="2"/>
      <c r="G53" s="2"/>
      <c r="H53" s="8"/>
      <c r="I53" s="70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34.5" hidden="1" customHeight="1" x14ac:dyDescent="0.3">
      <c r="A54" s="42" t="s">
        <v>0</v>
      </c>
      <c r="B54" s="43" t="s">
        <v>1</v>
      </c>
      <c r="C54" s="15" t="s">
        <v>2</v>
      </c>
      <c r="D54" s="43" t="s">
        <v>3</v>
      </c>
      <c r="E54" s="43" t="s">
        <v>4</v>
      </c>
      <c r="F54" s="11"/>
      <c r="G54" s="11"/>
      <c r="H54" s="67"/>
      <c r="I54" s="60"/>
      <c r="J54" s="63"/>
      <c r="K54" s="63"/>
      <c r="L54" s="63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30" hidden="1" customHeight="1" x14ac:dyDescent="0.3">
      <c r="A55" s="7" t="s">
        <v>5</v>
      </c>
      <c r="B55" s="44" t="s">
        <v>6</v>
      </c>
      <c r="C55" s="12" t="s">
        <v>7</v>
      </c>
      <c r="D55" s="44" t="s">
        <v>8</v>
      </c>
      <c r="E55" s="44" t="s">
        <v>9</v>
      </c>
      <c r="F55" s="13"/>
      <c r="G55" s="13"/>
      <c r="H55" s="68"/>
      <c r="I55" s="70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34.5" hidden="1" customHeight="1" x14ac:dyDescent="0.3">
      <c r="A56" s="14"/>
      <c r="B56" s="15" t="s">
        <v>10</v>
      </c>
      <c r="C56" s="14"/>
      <c r="D56" s="15" t="s">
        <v>11</v>
      </c>
      <c r="E56" s="15" t="s">
        <v>11</v>
      </c>
      <c r="F56" s="4"/>
      <c r="G56" s="4"/>
      <c r="H56" s="65"/>
      <c r="I56" s="60"/>
      <c r="J56" s="63"/>
      <c r="K56" s="63"/>
      <c r="L56" s="63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4.5" hidden="1" customHeight="1" x14ac:dyDescent="0.3">
      <c r="A57" s="7"/>
      <c r="B57" s="12" t="s">
        <v>12</v>
      </c>
      <c r="C57" s="45"/>
      <c r="D57" s="12" t="s">
        <v>13</v>
      </c>
      <c r="E57" s="12" t="s">
        <v>13</v>
      </c>
      <c r="F57" s="13"/>
      <c r="G57" s="13"/>
      <c r="H57" s="68"/>
      <c r="I57" s="70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30" hidden="1" customHeight="1" x14ac:dyDescent="0.3">
      <c r="A58" s="19"/>
      <c r="B58" s="20"/>
      <c r="C58" s="20" t="s">
        <v>14</v>
      </c>
      <c r="D58" s="20" t="s">
        <v>14</v>
      </c>
      <c r="E58" s="20" t="s">
        <v>14</v>
      </c>
      <c r="F58" s="2"/>
      <c r="G58" s="2"/>
      <c r="H58" s="8"/>
      <c r="I58" s="60"/>
      <c r="J58" s="63"/>
      <c r="K58" s="63"/>
      <c r="L58" s="6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hidden="1" customHeight="1" x14ac:dyDescent="0.3">
      <c r="A59" s="46" t="s">
        <v>35</v>
      </c>
      <c r="B59" s="47">
        <f>B62+B64+B66+B68+B70+B72+B74+B76+B78+B80+B82+B84+B86+B88+B90+B92</f>
        <v>369</v>
      </c>
      <c r="C59" s="47">
        <f t="shared" ref="C59:D59" si="8">C62+C64+C66+C68+C70+C72+C74+C76+C78+C80+C82+C84+C86+C88+C90+C92</f>
        <v>59532.629000000001</v>
      </c>
      <c r="D59" s="47">
        <f t="shared" si="8"/>
        <v>33831.436000000002</v>
      </c>
      <c r="E59" s="47">
        <f>E62+E64+E66+E68+E70+E72+E74+E76+E78+E80+E82+E84+E86+E88+E90+E92</f>
        <v>25701.192999999999</v>
      </c>
      <c r="F59" s="30"/>
      <c r="G59" s="30"/>
      <c r="H59" s="70"/>
      <c r="I59" s="7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24" hidden="1" customHeight="1" x14ac:dyDescent="0.3">
      <c r="A60" s="48" t="s">
        <v>36</v>
      </c>
      <c r="B60" s="47"/>
      <c r="C60" s="47"/>
      <c r="D60" s="47"/>
      <c r="E60" s="47"/>
      <c r="F60" s="30"/>
      <c r="G60" s="30"/>
      <c r="H60" s="70"/>
      <c r="I60" s="60"/>
      <c r="J60" s="63"/>
      <c r="K60" s="63"/>
      <c r="L60" s="63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9" hidden="1" customHeight="1" x14ac:dyDescent="0.3">
      <c r="A61" s="28"/>
      <c r="B61" s="29"/>
      <c r="C61" s="29"/>
      <c r="D61" s="29"/>
      <c r="E61" s="29"/>
      <c r="F61" s="27"/>
      <c r="G61" s="27"/>
      <c r="H61" s="69"/>
      <c r="I61" s="70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22.5" hidden="1" customHeight="1" x14ac:dyDescent="0.3">
      <c r="A62" s="31" t="s">
        <v>16</v>
      </c>
      <c r="B62" s="32">
        <v>83</v>
      </c>
      <c r="C62" s="32">
        <f>D62+E62</f>
        <v>2006.3020000000001</v>
      </c>
      <c r="D62" s="32">
        <f>1570509/1000</f>
        <v>1570.509</v>
      </c>
      <c r="E62" s="32">
        <f>435793/1000</f>
        <v>435.79300000000001</v>
      </c>
      <c r="F62" s="30"/>
      <c r="G62" s="30"/>
      <c r="H62" s="70"/>
      <c r="I62" s="60"/>
      <c r="J62" s="63"/>
      <c r="K62" s="63"/>
      <c r="L62" s="63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9" hidden="1" customHeight="1" x14ac:dyDescent="0.3">
      <c r="A63" s="28"/>
      <c r="B63" s="29"/>
      <c r="C63" s="29"/>
      <c r="D63" s="29"/>
      <c r="E63" s="29"/>
      <c r="F63" s="30"/>
      <c r="G63" s="30"/>
      <c r="H63" s="70"/>
      <c r="I63" s="7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22.5" hidden="1" customHeight="1" x14ac:dyDescent="0.3">
      <c r="A64" s="31" t="s">
        <v>17</v>
      </c>
      <c r="B64" s="32">
        <v>6</v>
      </c>
      <c r="C64" s="32">
        <f>D64+E64</f>
        <v>129.42500000000001</v>
      </c>
      <c r="D64" s="32">
        <f>124893/1000</f>
        <v>124.893</v>
      </c>
      <c r="E64" s="32">
        <f>4532/1000</f>
        <v>4.532</v>
      </c>
      <c r="F64" s="30"/>
      <c r="G64" s="30"/>
      <c r="H64" s="70"/>
      <c r="I64" s="60"/>
      <c r="J64" s="63"/>
      <c r="K64" s="63"/>
      <c r="L64" s="63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9" hidden="1" customHeight="1" x14ac:dyDescent="0.3">
      <c r="A65" s="28"/>
      <c r="B65" s="29"/>
      <c r="C65" s="29"/>
      <c r="D65" s="29"/>
      <c r="E65" s="29"/>
      <c r="F65" s="30"/>
      <c r="G65" s="30"/>
      <c r="H65" s="70"/>
      <c r="I65" s="7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22.5" hidden="1" customHeight="1" x14ac:dyDescent="0.3">
      <c r="A66" s="31" t="s">
        <v>18</v>
      </c>
      <c r="B66" s="32">
        <v>14</v>
      </c>
      <c r="C66" s="32">
        <f>D66+E66</f>
        <v>515.62</v>
      </c>
      <c r="D66" s="32">
        <f>408375/1000</f>
        <v>408.375</v>
      </c>
      <c r="E66" s="32">
        <f>107245/1000</f>
        <v>107.245</v>
      </c>
      <c r="F66" s="30"/>
      <c r="G66" s="30"/>
      <c r="H66" s="70"/>
      <c r="I66" s="8"/>
      <c r="J66" s="2"/>
      <c r="K66" s="2"/>
      <c r="L66" s="2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9" hidden="1" customHeight="1" x14ac:dyDescent="0.3">
      <c r="A67" s="28"/>
      <c r="B67" s="29"/>
      <c r="C67" s="29"/>
      <c r="D67" s="29"/>
      <c r="E67" s="29"/>
      <c r="F67" s="30"/>
      <c r="G67" s="30"/>
      <c r="H67" s="70"/>
      <c r="I67" s="8"/>
      <c r="J67" s="2"/>
      <c r="K67" s="2"/>
      <c r="L67" s="2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22.5" hidden="1" customHeight="1" x14ac:dyDescent="0.3">
      <c r="A68" s="31" t="s">
        <v>19</v>
      </c>
      <c r="B68" s="32">
        <v>0</v>
      </c>
      <c r="C68" s="32">
        <f>D68+E68</f>
        <v>0</v>
      </c>
      <c r="D68" s="32">
        <v>0</v>
      </c>
      <c r="E68" s="32">
        <v>0</v>
      </c>
      <c r="F68" s="30"/>
      <c r="G68" s="30"/>
      <c r="H68" s="70"/>
      <c r="I68" s="71"/>
      <c r="J68" s="41"/>
      <c r="K68" s="41"/>
      <c r="L68" s="41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9" hidden="1" customHeight="1" x14ac:dyDescent="0.3">
      <c r="A69" s="28"/>
      <c r="B69" s="29"/>
      <c r="C69" s="29"/>
      <c r="D69" s="29"/>
      <c r="E69" s="29"/>
      <c r="F69" s="30"/>
      <c r="G69" s="30"/>
      <c r="H69" s="70"/>
      <c r="I69" s="66"/>
      <c r="J69" s="5"/>
      <c r="K69" s="5"/>
      <c r="L69" s="5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22.5" hidden="1" customHeight="1" x14ac:dyDescent="0.3">
      <c r="A70" s="31" t="s">
        <v>20</v>
      </c>
      <c r="B70" s="32">
        <v>20</v>
      </c>
      <c r="C70" s="32">
        <f>D70+E70</f>
        <v>1416.9160000000002</v>
      </c>
      <c r="D70" s="32">
        <f>1316594/1000</f>
        <v>1316.5940000000001</v>
      </c>
      <c r="E70" s="32">
        <f>100322/1000</f>
        <v>100.322</v>
      </c>
      <c r="F70" s="30"/>
      <c r="G70" s="30"/>
      <c r="H70" s="70"/>
      <c r="I70" s="8"/>
      <c r="J70" s="2"/>
      <c r="K70" s="2"/>
      <c r="L70" s="2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9" hidden="1" customHeight="1" x14ac:dyDescent="0.3">
      <c r="A71" s="28"/>
      <c r="B71" s="29"/>
      <c r="C71" s="29"/>
      <c r="D71" s="29"/>
      <c r="E71" s="29"/>
      <c r="F71" s="30"/>
      <c r="G71" s="30"/>
      <c r="H71" s="70"/>
      <c r="I71" s="67"/>
      <c r="J71" s="11"/>
      <c r="K71" s="11"/>
      <c r="L71" s="11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22.5" hidden="1" customHeight="1" x14ac:dyDescent="0.3">
      <c r="A72" s="31" t="s">
        <v>21</v>
      </c>
      <c r="B72" s="32">
        <v>39</v>
      </c>
      <c r="C72" s="32">
        <f>D72+E72</f>
        <v>1669.0980000000002</v>
      </c>
      <c r="D72" s="32">
        <f>1410226/1000</f>
        <v>1410.2260000000001</v>
      </c>
      <c r="E72" s="32">
        <f>258872/1000</f>
        <v>258.87200000000001</v>
      </c>
      <c r="F72" s="30"/>
      <c r="G72" s="30"/>
      <c r="H72" s="70"/>
      <c r="I72" s="68"/>
      <c r="J72" s="13"/>
      <c r="K72" s="13"/>
      <c r="L72" s="13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9" hidden="1" customHeight="1" x14ac:dyDescent="0.3">
      <c r="A73" s="28"/>
      <c r="B73" s="29"/>
      <c r="C73" s="29"/>
      <c r="D73" s="29"/>
      <c r="E73" s="29"/>
      <c r="F73" s="30"/>
      <c r="G73" s="30"/>
      <c r="H73" s="70"/>
      <c r="I73" s="65"/>
      <c r="J73" s="4"/>
      <c r="K73" s="4"/>
      <c r="L73" s="4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22.5" hidden="1" customHeight="1" x14ac:dyDescent="0.3">
      <c r="A74" s="31" t="s">
        <v>22</v>
      </c>
      <c r="B74" s="32">
        <v>9</v>
      </c>
      <c r="C74" s="32">
        <f>D74+E74</f>
        <v>392.339</v>
      </c>
      <c r="D74" s="32">
        <f>270943/1000</f>
        <v>270.94299999999998</v>
      </c>
      <c r="E74" s="32">
        <f>121396/1000</f>
        <v>121.396</v>
      </c>
      <c r="F74" s="30"/>
      <c r="G74" s="30"/>
      <c r="H74" s="70"/>
      <c r="I74" s="68"/>
      <c r="J74" s="13"/>
      <c r="K74" s="13"/>
      <c r="L74" s="13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9" hidden="1" customHeight="1" x14ac:dyDescent="0.3">
      <c r="A75" s="28"/>
      <c r="B75" s="29"/>
      <c r="C75" s="29"/>
      <c r="D75" s="29"/>
      <c r="E75" s="29"/>
      <c r="F75" s="30"/>
      <c r="G75" s="30"/>
      <c r="H75" s="70"/>
      <c r="I75" s="8"/>
      <c r="J75" s="2"/>
      <c r="K75" s="2"/>
      <c r="L75" s="2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22.5" hidden="1" customHeight="1" x14ac:dyDescent="0.3">
      <c r="A76" s="31" t="s">
        <v>23</v>
      </c>
      <c r="B76" s="32">
        <v>26</v>
      </c>
      <c r="C76" s="32">
        <f>D76+E76</f>
        <v>1664.21</v>
      </c>
      <c r="D76" s="32">
        <f>1351988/1000</f>
        <v>1351.9880000000001</v>
      </c>
      <c r="E76" s="32">
        <f>312222/1000</f>
        <v>312.22199999999998</v>
      </c>
      <c r="F76" s="30"/>
      <c r="G76" s="30"/>
      <c r="H76" s="70"/>
      <c r="I76" s="7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9" hidden="1" customHeight="1" x14ac:dyDescent="0.3">
      <c r="A77" s="28"/>
      <c r="B77" s="29"/>
      <c r="C77" s="29"/>
      <c r="D77" s="29"/>
      <c r="E77" s="29"/>
      <c r="F77" s="30"/>
      <c r="G77" s="30"/>
      <c r="H77" s="70"/>
      <c r="I77" s="7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22.5" hidden="1" customHeight="1" x14ac:dyDescent="0.3">
      <c r="A78" s="31" t="s">
        <v>24</v>
      </c>
      <c r="B78" s="32">
        <v>1</v>
      </c>
      <c r="C78" s="32">
        <f>D78+E78</f>
        <v>19.25</v>
      </c>
      <c r="D78" s="32">
        <f>19250/1000</f>
        <v>19.25</v>
      </c>
      <c r="E78" s="32">
        <v>0</v>
      </c>
      <c r="F78" s="30"/>
      <c r="G78" s="30"/>
      <c r="H78" s="70"/>
      <c r="I78" s="69"/>
      <c r="J78" s="27"/>
      <c r="K78" s="27"/>
      <c r="L78" s="27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9" hidden="1" customHeight="1" x14ac:dyDescent="0.3">
      <c r="A79" s="28"/>
      <c r="B79" s="29"/>
      <c r="C79" s="29"/>
      <c r="D79" s="29"/>
      <c r="E79" s="29"/>
      <c r="F79" s="30"/>
      <c r="G79" s="30"/>
      <c r="H79" s="70"/>
      <c r="I79" s="7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22.5" hidden="1" customHeight="1" x14ac:dyDescent="0.3">
      <c r="A80" s="31" t="s">
        <v>25</v>
      </c>
      <c r="B80" s="32">
        <v>16</v>
      </c>
      <c r="C80" s="32">
        <f>D80+E80</f>
        <v>9585.2520000000004</v>
      </c>
      <c r="D80" s="32">
        <f>9579169/1000</f>
        <v>9579.1689999999999</v>
      </c>
      <c r="E80" s="32">
        <f>6083/1000</f>
        <v>6.0830000000000002</v>
      </c>
      <c r="F80" s="30"/>
      <c r="G80" s="30"/>
      <c r="H80" s="70"/>
      <c r="I80" s="7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9" hidden="1" customHeight="1" x14ac:dyDescent="0.3">
      <c r="A81" s="28"/>
      <c r="B81" s="29"/>
      <c r="C81" s="29"/>
      <c r="D81" s="29"/>
      <c r="E81" s="29"/>
      <c r="F81" s="30"/>
      <c r="G81" s="30"/>
      <c r="H81" s="70"/>
      <c r="I81" s="7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22.5" hidden="1" customHeight="1" x14ac:dyDescent="0.3">
      <c r="A82" s="31" t="s">
        <v>26</v>
      </c>
      <c r="B82" s="32">
        <v>4</v>
      </c>
      <c r="C82" s="32">
        <f>D82+E82</f>
        <v>18.606000000000002</v>
      </c>
      <c r="D82" s="32">
        <f>18606/1000</f>
        <v>18.606000000000002</v>
      </c>
      <c r="E82" s="32">
        <v>0</v>
      </c>
      <c r="F82" s="30"/>
      <c r="G82" s="30"/>
      <c r="H82" s="70"/>
      <c r="I82" s="7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9" hidden="1" customHeight="1" x14ac:dyDescent="0.3">
      <c r="A83" s="28"/>
      <c r="B83" s="29"/>
      <c r="C83" s="29"/>
      <c r="D83" s="29"/>
      <c r="E83" s="29"/>
      <c r="F83" s="30"/>
      <c r="G83" s="30"/>
      <c r="H83" s="70"/>
      <c r="I83" s="7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22.5" hidden="1" customHeight="1" x14ac:dyDescent="0.3">
      <c r="A84" s="31" t="s">
        <v>27</v>
      </c>
      <c r="B84" s="32">
        <v>81</v>
      </c>
      <c r="C84" s="32">
        <f>D84+E84</f>
        <v>10217.745000000001</v>
      </c>
      <c r="D84" s="32">
        <f>8171657/1000</f>
        <v>8171.6570000000002</v>
      </c>
      <c r="E84" s="32">
        <f>2046088/1000</f>
        <v>2046.088</v>
      </c>
      <c r="F84" s="30"/>
      <c r="G84" s="30"/>
      <c r="H84" s="70"/>
      <c r="I84" s="7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9" hidden="1" customHeight="1" x14ac:dyDescent="0.3">
      <c r="A85" s="28"/>
      <c r="B85" s="29"/>
      <c r="C85" s="29"/>
      <c r="D85" s="29"/>
      <c r="E85" s="29"/>
      <c r="F85" s="30"/>
      <c r="G85" s="30"/>
      <c r="H85" s="70"/>
      <c r="I85" s="7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22.5" hidden="1" customHeight="1" x14ac:dyDescent="0.3">
      <c r="A86" s="31" t="s">
        <v>28</v>
      </c>
      <c r="B86" s="32">
        <v>70</v>
      </c>
      <c r="C86" s="32">
        <f>D86+E86</f>
        <v>31897.866000000002</v>
      </c>
      <c r="D86" s="32">
        <f>9589226/1000</f>
        <v>9589.2260000000006</v>
      </c>
      <c r="E86" s="32">
        <f>22308640/1000</f>
        <v>22308.639999999999</v>
      </c>
      <c r="F86" s="30"/>
      <c r="G86" s="30"/>
      <c r="H86" s="70"/>
      <c r="I86" s="7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9" hidden="1" customHeight="1" x14ac:dyDescent="0.3">
      <c r="A87" s="28"/>
      <c r="B87" s="29"/>
      <c r="C87" s="29"/>
      <c r="D87" s="29"/>
      <c r="E87" s="29"/>
      <c r="F87" s="30"/>
      <c r="G87" s="30"/>
      <c r="H87" s="70"/>
      <c r="I87" s="7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22.5" hidden="1" customHeight="1" x14ac:dyDescent="0.3">
      <c r="A88" s="31" t="s">
        <v>29</v>
      </c>
      <c r="B88" s="32">
        <v>0</v>
      </c>
      <c r="C88" s="32">
        <f>D88+E88</f>
        <v>0</v>
      </c>
      <c r="D88" s="32">
        <v>0</v>
      </c>
      <c r="E88" s="32">
        <v>0</v>
      </c>
      <c r="F88" s="30"/>
      <c r="G88" s="30"/>
      <c r="H88" s="70"/>
      <c r="I88" s="7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9" hidden="1" customHeight="1" x14ac:dyDescent="0.3">
      <c r="A89" s="28"/>
      <c r="B89" s="29"/>
      <c r="C89" s="29"/>
      <c r="D89" s="29"/>
      <c r="E89" s="29"/>
      <c r="F89" s="30"/>
      <c r="G89" s="30"/>
      <c r="H89" s="70"/>
      <c r="I89" s="7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22.5" hidden="1" customHeight="1" x14ac:dyDescent="0.3">
      <c r="A90" s="31" t="s">
        <v>30</v>
      </c>
      <c r="B90" s="32">
        <v>0</v>
      </c>
      <c r="C90" s="32">
        <f>D90+E90</f>
        <v>0</v>
      </c>
      <c r="D90" s="32">
        <v>0</v>
      </c>
      <c r="E90" s="32">
        <v>0</v>
      </c>
      <c r="F90" s="30"/>
      <c r="G90" s="30"/>
      <c r="H90" s="70"/>
      <c r="I90" s="7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9" hidden="1" customHeight="1" x14ac:dyDescent="0.3">
      <c r="A91" s="28"/>
      <c r="B91" s="29"/>
      <c r="C91" s="29"/>
      <c r="D91" s="29"/>
      <c r="E91" s="29"/>
      <c r="F91" s="30"/>
      <c r="G91" s="30"/>
      <c r="H91" s="70"/>
      <c r="I91" s="7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22.5" hidden="1" customHeight="1" x14ac:dyDescent="0.3">
      <c r="A92" s="31" t="s">
        <v>31</v>
      </c>
      <c r="B92" s="32">
        <v>0</v>
      </c>
      <c r="C92" s="32">
        <f>D92+E92</f>
        <v>0</v>
      </c>
      <c r="D92" s="32">
        <v>0</v>
      </c>
      <c r="E92" s="32">
        <v>0</v>
      </c>
      <c r="F92" s="30"/>
      <c r="G92" s="30"/>
      <c r="H92" s="70"/>
      <c r="I92" s="7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9" hidden="1" customHeight="1" x14ac:dyDescent="0.3">
      <c r="A93" s="28"/>
      <c r="B93" s="49"/>
      <c r="C93" s="49"/>
      <c r="D93" s="49"/>
      <c r="E93" s="49"/>
      <c r="F93" s="30"/>
      <c r="G93" s="30"/>
      <c r="H93" s="70"/>
      <c r="I93" s="7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9" hidden="1" customHeight="1" x14ac:dyDescent="0.3">
      <c r="A94" s="25"/>
      <c r="B94" s="40"/>
      <c r="C94" s="40"/>
      <c r="D94" s="40"/>
      <c r="E94" s="40"/>
      <c r="F94" s="27"/>
      <c r="G94" s="27"/>
      <c r="H94" s="69"/>
      <c r="I94" s="70"/>
      <c r="J94" s="30"/>
      <c r="K94" s="30"/>
      <c r="L94" s="30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2.75" hidden="1" customHeight="1" x14ac:dyDescent="0.3">
      <c r="A95" s="50"/>
      <c r="B95" s="2"/>
      <c r="C95" s="51"/>
      <c r="D95" s="52"/>
      <c r="E95" s="52"/>
      <c r="F95" s="2"/>
      <c r="G95" s="2"/>
      <c r="H95" s="8"/>
      <c r="I95" s="70"/>
      <c r="J95" s="30"/>
      <c r="K95" s="30"/>
      <c r="L95" s="30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hidden="1" customHeight="1" x14ac:dyDescent="0.3">
      <c r="A96" s="74" t="s">
        <v>33</v>
      </c>
      <c r="B96" s="73"/>
      <c r="C96" s="73"/>
      <c r="D96" s="73"/>
      <c r="E96" s="73"/>
      <c r="F96" s="4"/>
      <c r="G96" s="4"/>
      <c r="H96" s="65"/>
      <c r="I96" s="70"/>
      <c r="J96" s="30"/>
      <c r="K96" s="30"/>
      <c r="L96" s="30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2.5" hidden="1" customHeight="1" x14ac:dyDescent="0.3">
      <c r="A97" s="72" t="s">
        <v>34</v>
      </c>
      <c r="B97" s="73"/>
      <c r="C97" s="73"/>
      <c r="D97" s="73"/>
      <c r="E97" s="73"/>
      <c r="F97" s="5"/>
      <c r="G97" s="5"/>
      <c r="H97" s="66"/>
      <c r="I97" s="70"/>
      <c r="J97" s="30"/>
      <c r="K97" s="30"/>
      <c r="L97" s="30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" hidden="1" customHeight="1" x14ac:dyDescent="0.3">
      <c r="A98" s="6"/>
      <c r="B98" s="2"/>
      <c r="C98" s="2"/>
      <c r="D98" s="2"/>
      <c r="E98" s="2"/>
      <c r="F98" s="2"/>
      <c r="G98" s="2"/>
      <c r="H98" s="8"/>
      <c r="I98" s="70"/>
      <c r="J98" s="30"/>
      <c r="K98" s="30"/>
      <c r="L98" s="30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34.5" hidden="1" customHeight="1" x14ac:dyDescent="0.3">
      <c r="A99" s="42" t="s">
        <v>0</v>
      </c>
      <c r="B99" s="43" t="s">
        <v>1</v>
      </c>
      <c r="C99" s="15" t="s">
        <v>2</v>
      </c>
      <c r="D99" s="43" t="s">
        <v>3</v>
      </c>
      <c r="E99" s="43" t="s">
        <v>4</v>
      </c>
      <c r="F99" s="11"/>
      <c r="G99" s="11"/>
      <c r="H99" s="67"/>
      <c r="I99" s="70"/>
      <c r="J99" s="30"/>
      <c r="K99" s="30"/>
      <c r="L99" s="30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30" hidden="1" customHeight="1" x14ac:dyDescent="0.3">
      <c r="A100" s="7" t="s">
        <v>5</v>
      </c>
      <c r="B100" s="44" t="s">
        <v>6</v>
      </c>
      <c r="C100" s="12" t="s">
        <v>7</v>
      </c>
      <c r="D100" s="44" t="s">
        <v>8</v>
      </c>
      <c r="E100" s="44" t="s">
        <v>9</v>
      </c>
      <c r="F100" s="13"/>
      <c r="G100" s="13"/>
      <c r="H100" s="68"/>
      <c r="I100" s="70"/>
      <c r="J100" s="30"/>
      <c r="K100" s="30"/>
      <c r="L100" s="30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4.5" hidden="1" customHeight="1" x14ac:dyDescent="0.3">
      <c r="A101" s="14"/>
      <c r="B101" s="15" t="s">
        <v>10</v>
      </c>
      <c r="C101" s="14"/>
      <c r="D101" s="15" t="s">
        <v>11</v>
      </c>
      <c r="E101" s="15" t="s">
        <v>11</v>
      </c>
      <c r="F101" s="4"/>
      <c r="G101" s="4"/>
      <c r="H101" s="65"/>
      <c r="I101" s="70"/>
      <c r="J101" s="30"/>
      <c r="K101" s="30"/>
      <c r="L101" s="30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4.5" hidden="1" customHeight="1" x14ac:dyDescent="0.3">
      <c r="A102" s="7"/>
      <c r="B102" s="12" t="s">
        <v>12</v>
      </c>
      <c r="C102" s="45"/>
      <c r="D102" s="12" t="s">
        <v>13</v>
      </c>
      <c r="E102" s="12" t="s">
        <v>13</v>
      </c>
      <c r="F102" s="13"/>
      <c r="G102" s="13"/>
      <c r="H102" s="68"/>
      <c r="I102" s="70"/>
      <c r="J102" s="30"/>
      <c r="K102" s="30"/>
      <c r="L102" s="30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30" hidden="1" customHeight="1" x14ac:dyDescent="0.3">
      <c r="A103" s="19"/>
      <c r="B103" s="20"/>
      <c r="C103" s="20" t="s">
        <v>14</v>
      </c>
      <c r="D103" s="20" t="s">
        <v>14</v>
      </c>
      <c r="E103" s="20" t="s">
        <v>14</v>
      </c>
      <c r="F103" s="2"/>
      <c r="G103" s="2"/>
      <c r="H103" s="8"/>
      <c r="I103" s="70"/>
      <c r="J103" s="30"/>
      <c r="K103" s="30"/>
      <c r="L103" s="30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hidden="1" customHeight="1" x14ac:dyDescent="0.3">
      <c r="A104" s="46" t="s">
        <v>37</v>
      </c>
      <c r="B104" s="47">
        <f t="shared" ref="B104:D104" si="9">B107+B109+B111+B113+B115+B117+B119+B121+B123+B125+B127+B129+B131+B133+B135+B137</f>
        <v>86</v>
      </c>
      <c r="C104" s="47">
        <f t="shared" si="9"/>
        <v>48844.603000000003</v>
      </c>
      <c r="D104" s="47">
        <f t="shared" si="9"/>
        <v>38274.409</v>
      </c>
      <c r="E104" s="47">
        <f>E107+E109+E111+E113+E115+E117+E119+E121+E123+E125+E127+E129+E131+E133+E135+E137</f>
        <v>10570.194000000001</v>
      </c>
      <c r="F104" s="2"/>
      <c r="G104" s="2"/>
      <c r="H104" s="8"/>
      <c r="I104" s="70"/>
      <c r="J104" s="30"/>
      <c r="K104" s="30"/>
      <c r="L104" s="30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hidden="1" customHeight="1" x14ac:dyDescent="0.3">
      <c r="A105" s="48" t="s">
        <v>38</v>
      </c>
      <c r="B105" s="47"/>
      <c r="C105" s="47"/>
      <c r="D105" s="47"/>
      <c r="E105" s="47"/>
      <c r="F105" s="2"/>
      <c r="G105" s="2"/>
      <c r="H105" s="8"/>
      <c r="I105" s="70"/>
      <c r="J105" s="30"/>
      <c r="K105" s="30"/>
      <c r="L105" s="30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9" hidden="1" customHeight="1" x14ac:dyDescent="0.3">
      <c r="A106" s="28"/>
      <c r="B106" s="29"/>
      <c r="C106" s="29"/>
      <c r="D106" s="29"/>
      <c r="E106" s="29"/>
      <c r="F106" s="27"/>
      <c r="G106" s="27"/>
      <c r="H106" s="69"/>
      <c r="I106" s="70"/>
      <c r="J106" s="30"/>
      <c r="K106" s="30"/>
      <c r="L106" s="30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22.5" hidden="1" customHeight="1" x14ac:dyDescent="0.3">
      <c r="A107" s="31" t="s">
        <v>16</v>
      </c>
      <c r="B107" s="32">
        <v>19</v>
      </c>
      <c r="C107" s="32">
        <f>D107+E107</f>
        <v>2140.3710000000001</v>
      </c>
      <c r="D107" s="32">
        <f>1901183/1000</f>
        <v>1901.183</v>
      </c>
      <c r="E107" s="32">
        <f>239188/1000</f>
        <v>239.18799999999999</v>
      </c>
      <c r="F107" s="30"/>
      <c r="G107" s="30"/>
      <c r="H107" s="70"/>
      <c r="I107" s="7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9" hidden="1" customHeight="1" x14ac:dyDescent="0.3">
      <c r="A108" s="28"/>
      <c r="B108" s="29"/>
      <c r="C108" s="29"/>
      <c r="D108" s="29"/>
      <c r="E108" s="29"/>
      <c r="F108" s="30"/>
      <c r="G108" s="30"/>
      <c r="H108" s="70"/>
      <c r="I108" s="7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22.5" hidden="1" customHeight="1" x14ac:dyDescent="0.3">
      <c r="A109" s="31" t="s">
        <v>17</v>
      </c>
      <c r="B109" s="32">
        <v>0</v>
      </c>
      <c r="C109" s="32">
        <f>D109+E109</f>
        <v>0</v>
      </c>
      <c r="D109" s="32">
        <v>0</v>
      </c>
      <c r="E109" s="32">
        <v>0</v>
      </c>
      <c r="F109" s="30"/>
      <c r="G109" s="30"/>
      <c r="H109" s="70"/>
      <c r="I109" s="7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9" hidden="1" customHeight="1" x14ac:dyDescent="0.3">
      <c r="A110" s="28"/>
      <c r="B110" s="29"/>
      <c r="C110" s="29"/>
      <c r="D110" s="29"/>
      <c r="E110" s="29"/>
      <c r="F110" s="30"/>
      <c r="G110" s="30"/>
      <c r="H110" s="70"/>
      <c r="I110" s="7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22.5" hidden="1" customHeight="1" x14ac:dyDescent="0.3">
      <c r="A111" s="31" t="s">
        <v>18</v>
      </c>
      <c r="B111" s="32">
        <v>4</v>
      </c>
      <c r="C111" s="32">
        <f>D111+E111</f>
        <v>16.895</v>
      </c>
      <c r="D111" s="32">
        <f>14618/1000</f>
        <v>14.618</v>
      </c>
      <c r="E111" s="32">
        <f>2277/1000</f>
        <v>2.2770000000000001</v>
      </c>
      <c r="F111" s="30"/>
      <c r="G111" s="30"/>
      <c r="H111" s="70"/>
      <c r="I111" s="69"/>
      <c r="J111" s="27"/>
      <c r="K111" s="27"/>
      <c r="L111" s="27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9" hidden="1" customHeight="1" x14ac:dyDescent="0.3">
      <c r="A112" s="28"/>
      <c r="B112" s="29"/>
      <c r="C112" s="29"/>
      <c r="D112" s="29"/>
      <c r="E112" s="29"/>
      <c r="F112" s="30"/>
      <c r="G112" s="30"/>
      <c r="H112" s="70"/>
      <c r="I112" s="8"/>
      <c r="J112" s="2"/>
      <c r="K112" s="2"/>
      <c r="L112" s="2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22.5" hidden="1" customHeight="1" x14ac:dyDescent="0.3">
      <c r="A113" s="31" t="s">
        <v>19</v>
      </c>
      <c r="B113" s="32">
        <v>1</v>
      </c>
      <c r="C113" s="32">
        <f>D113+E113</f>
        <v>6.8</v>
      </c>
      <c r="D113" s="32">
        <f>6800/1000</f>
        <v>6.8</v>
      </c>
      <c r="E113" s="32">
        <v>0</v>
      </c>
      <c r="F113" s="30"/>
      <c r="G113" s="30"/>
      <c r="H113" s="70"/>
      <c r="I113" s="65"/>
      <c r="J113" s="4"/>
      <c r="K113" s="4"/>
      <c r="L113" s="4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9" hidden="1" customHeight="1" x14ac:dyDescent="0.3">
      <c r="A114" s="28"/>
      <c r="B114" s="29"/>
      <c r="C114" s="29"/>
      <c r="D114" s="29"/>
      <c r="E114" s="29"/>
      <c r="F114" s="30"/>
      <c r="G114" s="30"/>
      <c r="H114" s="70"/>
      <c r="I114" s="66"/>
      <c r="J114" s="5"/>
      <c r="K114" s="5"/>
      <c r="L114" s="5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22.5" hidden="1" customHeight="1" x14ac:dyDescent="0.3">
      <c r="A115" s="31" t="s">
        <v>20</v>
      </c>
      <c r="B115" s="32">
        <v>0</v>
      </c>
      <c r="C115" s="32">
        <f>D115+E115</f>
        <v>0</v>
      </c>
      <c r="D115" s="32">
        <v>0</v>
      </c>
      <c r="E115" s="32">
        <v>0</v>
      </c>
      <c r="F115" s="30"/>
      <c r="G115" s="30"/>
      <c r="H115" s="70"/>
      <c r="I115" s="8"/>
      <c r="J115" s="2"/>
      <c r="K115" s="2"/>
      <c r="L115" s="2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9" hidden="1" customHeight="1" x14ac:dyDescent="0.3">
      <c r="A116" s="28"/>
      <c r="B116" s="29"/>
      <c r="C116" s="29"/>
      <c r="D116" s="29"/>
      <c r="E116" s="29"/>
      <c r="F116" s="30"/>
      <c r="G116" s="30"/>
      <c r="H116" s="70"/>
      <c r="I116" s="67"/>
      <c r="J116" s="11"/>
      <c r="K116" s="11"/>
      <c r="L116" s="11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22.5" hidden="1" customHeight="1" x14ac:dyDescent="0.3">
      <c r="A117" s="31" t="s">
        <v>21</v>
      </c>
      <c r="B117" s="32">
        <v>47</v>
      </c>
      <c r="C117" s="32">
        <f>D117+E117</f>
        <v>11378.061</v>
      </c>
      <c r="D117" s="32">
        <f>10907261/1000</f>
        <v>10907.261</v>
      </c>
      <c r="E117" s="32">
        <f>470800/1000</f>
        <v>470.8</v>
      </c>
      <c r="F117" s="30"/>
      <c r="G117" s="30"/>
      <c r="H117" s="70"/>
      <c r="I117" s="68"/>
      <c r="J117" s="13"/>
      <c r="K117" s="13"/>
      <c r="L117" s="13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9" hidden="1" customHeight="1" x14ac:dyDescent="0.3">
      <c r="A118" s="28"/>
      <c r="B118" s="29"/>
      <c r="C118" s="29"/>
      <c r="D118" s="29"/>
      <c r="E118" s="29"/>
      <c r="F118" s="30"/>
      <c r="G118" s="30"/>
      <c r="H118" s="70"/>
      <c r="I118" s="65"/>
      <c r="J118" s="4"/>
      <c r="K118" s="4"/>
      <c r="L118" s="4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22.5" hidden="1" customHeight="1" x14ac:dyDescent="0.3">
      <c r="A119" s="31" t="s">
        <v>22</v>
      </c>
      <c r="B119" s="32">
        <v>0</v>
      </c>
      <c r="C119" s="32">
        <f>D119+E119</f>
        <v>0</v>
      </c>
      <c r="D119" s="32">
        <v>0</v>
      </c>
      <c r="E119" s="32">
        <v>0</v>
      </c>
      <c r="F119" s="30"/>
      <c r="G119" s="30"/>
      <c r="H119" s="70"/>
      <c r="I119" s="68"/>
      <c r="J119" s="13"/>
      <c r="K119" s="13"/>
      <c r="L119" s="13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9" hidden="1" customHeight="1" x14ac:dyDescent="0.3">
      <c r="A120" s="28"/>
      <c r="B120" s="29"/>
      <c r="C120" s="29"/>
      <c r="D120" s="29"/>
      <c r="E120" s="29"/>
      <c r="F120" s="30"/>
      <c r="G120" s="30"/>
      <c r="H120" s="70"/>
      <c r="I120" s="8"/>
      <c r="J120" s="2"/>
      <c r="K120" s="2"/>
      <c r="L120" s="2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22.5" hidden="1" customHeight="1" x14ac:dyDescent="0.3">
      <c r="A121" s="31" t="s">
        <v>23</v>
      </c>
      <c r="B121" s="32">
        <v>4</v>
      </c>
      <c r="C121" s="32">
        <f>D121+E121</f>
        <v>24.800999999999998</v>
      </c>
      <c r="D121" s="32">
        <f>24801/1000</f>
        <v>24.800999999999998</v>
      </c>
      <c r="E121" s="32">
        <v>0</v>
      </c>
      <c r="F121" s="30"/>
      <c r="G121" s="30"/>
      <c r="H121" s="70"/>
      <c r="I121" s="8"/>
      <c r="J121" s="2"/>
      <c r="K121" s="2"/>
      <c r="L121" s="2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9" hidden="1" customHeight="1" x14ac:dyDescent="0.3">
      <c r="A122" s="28"/>
      <c r="B122" s="29"/>
      <c r="C122" s="29"/>
      <c r="D122" s="29"/>
      <c r="E122" s="29"/>
      <c r="F122" s="30"/>
      <c r="G122" s="30"/>
      <c r="H122" s="70"/>
      <c r="I122" s="8"/>
      <c r="J122" s="2"/>
      <c r="K122" s="2"/>
      <c r="L122" s="2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22.5" hidden="1" customHeight="1" x14ac:dyDescent="0.3">
      <c r="A123" s="31" t="s">
        <v>24</v>
      </c>
      <c r="B123" s="32">
        <v>0</v>
      </c>
      <c r="C123" s="32">
        <f>D123+E123</f>
        <v>0</v>
      </c>
      <c r="D123" s="32">
        <v>0</v>
      </c>
      <c r="E123" s="32">
        <v>0</v>
      </c>
      <c r="F123" s="30"/>
      <c r="G123" s="30"/>
      <c r="H123" s="70"/>
      <c r="I123" s="69"/>
      <c r="J123" s="27"/>
      <c r="K123" s="27"/>
      <c r="L123" s="27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9" hidden="1" customHeight="1" x14ac:dyDescent="0.3">
      <c r="A124" s="28"/>
      <c r="B124" s="29"/>
      <c r="C124" s="29"/>
      <c r="D124" s="29"/>
      <c r="E124" s="29"/>
      <c r="F124" s="30"/>
      <c r="G124" s="30"/>
      <c r="H124" s="70"/>
      <c r="I124" s="7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22.5" hidden="1" customHeight="1" x14ac:dyDescent="0.3">
      <c r="A125" s="31" t="s">
        <v>25</v>
      </c>
      <c r="B125" s="32">
        <v>4</v>
      </c>
      <c r="C125" s="32">
        <f>D125+E125</f>
        <v>5387.9340000000002</v>
      </c>
      <c r="D125" s="32">
        <f>5387934/1000</f>
        <v>5387.9340000000002</v>
      </c>
      <c r="E125" s="32">
        <v>0</v>
      </c>
      <c r="F125" s="30"/>
      <c r="G125" s="30"/>
      <c r="H125" s="70"/>
      <c r="I125" s="7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9" hidden="1" customHeight="1" x14ac:dyDescent="0.3">
      <c r="A126" s="28"/>
      <c r="B126" s="29"/>
      <c r="C126" s="29"/>
      <c r="D126" s="29"/>
      <c r="E126" s="29"/>
      <c r="F126" s="30"/>
      <c r="G126" s="30"/>
      <c r="H126" s="70"/>
      <c r="I126" s="7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22.5" hidden="1" customHeight="1" x14ac:dyDescent="0.3">
      <c r="A127" s="31" t="s">
        <v>26</v>
      </c>
      <c r="B127" s="32">
        <v>0</v>
      </c>
      <c r="C127" s="32">
        <f>D127+E127</f>
        <v>0</v>
      </c>
      <c r="D127" s="32">
        <v>0</v>
      </c>
      <c r="E127" s="32">
        <v>0</v>
      </c>
      <c r="F127" s="30"/>
      <c r="G127" s="30"/>
      <c r="H127" s="70"/>
      <c r="I127" s="7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9" hidden="1" customHeight="1" x14ac:dyDescent="0.3">
      <c r="A128" s="28"/>
      <c r="B128" s="29"/>
      <c r="C128" s="29"/>
      <c r="D128" s="29"/>
      <c r="E128" s="29"/>
      <c r="F128" s="30"/>
      <c r="G128" s="30"/>
      <c r="H128" s="70"/>
      <c r="I128" s="7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22.5" hidden="1" customHeight="1" x14ac:dyDescent="0.3">
      <c r="A129" s="31" t="s">
        <v>27</v>
      </c>
      <c r="B129" s="32">
        <v>2</v>
      </c>
      <c r="C129" s="32">
        <f>D129+E129</f>
        <v>404.06099999999998</v>
      </c>
      <c r="D129" s="32">
        <f>26323/1000</f>
        <v>26.323</v>
      </c>
      <c r="E129" s="32">
        <f>377738/1000</f>
        <v>377.738</v>
      </c>
      <c r="F129" s="30"/>
      <c r="G129" s="30"/>
      <c r="H129" s="70"/>
      <c r="I129" s="7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9" hidden="1" customHeight="1" x14ac:dyDescent="0.3">
      <c r="A130" s="28"/>
      <c r="B130" s="29"/>
      <c r="C130" s="29"/>
      <c r="D130" s="29"/>
      <c r="E130" s="29"/>
      <c r="F130" s="30"/>
      <c r="G130" s="30"/>
      <c r="H130" s="70"/>
      <c r="I130" s="7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22.5" hidden="1" customHeight="1" x14ac:dyDescent="0.3">
      <c r="A131" s="31" t="s">
        <v>28</v>
      </c>
      <c r="B131" s="32">
        <v>5</v>
      </c>
      <c r="C131" s="32">
        <f>D131+E131</f>
        <v>29485.68</v>
      </c>
      <c r="D131" s="32">
        <f>20005489/1000</f>
        <v>20005.489000000001</v>
      </c>
      <c r="E131" s="32">
        <f>9480191/1000</f>
        <v>9480.1910000000007</v>
      </c>
      <c r="F131" s="30"/>
      <c r="G131" s="30"/>
      <c r="H131" s="70"/>
      <c r="I131" s="7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9" hidden="1" customHeight="1" x14ac:dyDescent="0.3">
      <c r="A132" s="28"/>
      <c r="B132" s="29"/>
      <c r="C132" s="29"/>
      <c r="D132" s="29"/>
      <c r="E132" s="29"/>
      <c r="F132" s="30"/>
      <c r="G132" s="30"/>
      <c r="H132" s="70"/>
      <c r="I132" s="7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22.5" hidden="1" customHeight="1" x14ac:dyDescent="0.3">
      <c r="A133" s="31" t="s">
        <v>29</v>
      </c>
      <c r="B133" s="32">
        <v>0</v>
      </c>
      <c r="C133" s="32">
        <v>0</v>
      </c>
      <c r="D133" s="32">
        <v>0</v>
      </c>
      <c r="E133" s="32">
        <v>0</v>
      </c>
      <c r="F133" s="30"/>
      <c r="G133" s="30"/>
      <c r="H133" s="70"/>
      <c r="I133" s="7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9" hidden="1" customHeight="1" x14ac:dyDescent="0.3">
      <c r="A134" s="28"/>
      <c r="B134" s="29"/>
      <c r="C134" s="29"/>
      <c r="D134" s="29"/>
      <c r="E134" s="29"/>
      <c r="F134" s="30"/>
      <c r="G134" s="30"/>
      <c r="H134" s="70"/>
      <c r="I134" s="7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22.5" hidden="1" customHeight="1" x14ac:dyDescent="0.3">
      <c r="A135" s="31" t="s">
        <v>30</v>
      </c>
      <c r="B135" s="32">
        <v>0</v>
      </c>
      <c r="C135" s="32">
        <f>D135+E135</f>
        <v>0</v>
      </c>
      <c r="D135" s="32">
        <v>0</v>
      </c>
      <c r="E135" s="32">
        <v>0</v>
      </c>
      <c r="F135" s="30"/>
      <c r="G135" s="30"/>
      <c r="H135" s="70"/>
      <c r="I135" s="7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9" hidden="1" customHeight="1" x14ac:dyDescent="0.3">
      <c r="A136" s="28"/>
      <c r="B136" s="29"/>
      <c r="C136" s="29"/>
      <c r="D136" s="29"/>
      <c r="E136" s="29"/>
      <c r="F136" s="30"/>
      <c r="G136" s="30"/>
      <c r="H136" s="70"/>
      <c r="I136" s="7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22.5" hidden="1" customHeight="1" x14ac:dyDescent="0.3">
      <c r="A137" s="31" t="s">
        <v>31</v>
      </c>
      <c r="B137" s="39">
        <v>0</v>
      </c>
      <c r="C137" s="32">
        <f>D137+E137</f>
        <v>0</v>
      </c>
      <c r="D137" s="32">
        <v>0</v>
      </c>
      <c r="E137" s="32">
        <v>0</v>
      </c>
      <c r="F137" s="30"/>
      <c r="G137" s="30"/>
      <c r="H137" s="70"/>
      <c r="I137" s="7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9" hidden="1" customHeight="1" x14ac:dyDescent="0.3">
      <c r="A138" s="28"/>
      <c r="B138" s="49"/>
      <c r="C138" s="49"/>
      <c r="D138" s="49"/>
      <c r="E138" s="49"/>
      <c r="F138" s="30"/>
      <c r="G138" s="30"/>
      <c r="H138" s="70"/>
      <c r="I138" s="7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9" hidden="1" customHeight="1" x14ac:dyDescent="0.3">
      <c r="A139" s="25"/>
      <c r="B139" s="40"/>
      <c r="C139" s="40"/>
      <c r="D139" s="40"/>
      <c r="E139" s="40"/>
      <c r="F139" s="2"/>
      <c r="G139" s="2"/>
      <c r="H139" s="8"/>
      <c r="I139" s="70"/>
      <c r="J139" s="30"/>
      <c r="K139" s="30"/>
      <c r="L139" s="30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hidden="1" customHeight="1" x14ac:dyDescent="0.3">
      <c r="A140" s="50"/>
      <c r="B140" s="2"/>
      <c r="C140" s="51"/>
      <c r="D140" s="52"/>
      <c r="E140" s="52"/>
      <c r="F140" s="2"/>
      <c r="G140" s="2"/>
      <c r="H140" s="8"/>
      <c r="I140" s="70"/>
      <c r="J140" s="30"/>
      <c r="K140" s="30"/>
      <c r="L140" s="30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hidden="1" customHeight="1" x14ac:dyDescent="0.3">
      <c r="A141" s="74" t="s">
        <v>33</v>
      </c>
      <c r="B141" s="73"/>
      <c r="C141" s="73"/>
      <c r="D141" s="73"/>
      <c r="E141" s="73"/>
      <c r="F141" s="4"/>
      <c r="G141" s="4"/>
      <c r="H141" s="65"/>
      <c r="I141" s="70"/>
      <c r="J141" s="30"/>
      <c r="K141" s="30"/>
      <c r="L141" s="30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2.5" hidden="1" customHeight="1" x14ac:dyDescent="0.3">
      <c r="A142" s="72" t="s">
        <v>34</v>
      </c>
      <c r="B142" s="73"/>
      <c r="C142" s="73"/>
      <c r="D142" s="73"/>
      <c r="E142" s="73"/>
      <c r="F142" s="5"/>
      <c r="G142" s="5"/>
      <c r="H142" s="66"/>
      <c r="I142" s="70"/>
      <c r="J142" s="30"/>
      <c r="K142" s="30"/>
      <c r="L142" s="30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" hidden="1" customHeight="1" x14ac:dyDescent="0.3">
      <c r="A143" s="6"/>
      <c r="B143" s="2"/>
      <c r="C143" s="2"/>
      <c r="D143" s="2"/>
      <c r="E143" s="2"/>
      <c r="F143" s="2"/>
      <c r="G143" s="2"/>
      <c r="H143" s="8"/>
      <c r="I143" s="70"/>
      <c r="J143" s="30"/>
      <c r="K143" s="30"/>
      <c r="L143" s="3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34.5" hidden="1" customHeight="1" x14ac:dyDescent="0.3">
      <c r="A144" s="42" t="s">
        <v>0</v>
      </c>
      <c r="B144" s="43" t="s">
        <v>1</v>
      </c>
      <c r="C144" s="15" t="s">
        <v>2</v>
      </c>
      <c r="D144" s="43" t="s">
        <v>3</v>
      </c>
      <c r="E144" s="43" t="s">
        <v>4</v>
      </c>
      <c r="F144" s="11"/>
      <c r="G144" s="11"/>
      <c r="H144" s="67"/>
      <c r="I144" s="70"/>
      <c r="J144" s="30"/>
      <c r="K144" s="30"/>
      <c r="L144" s="30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30" hidden="1" customHeight="1" x14ac:dyDescent="0.3">
      <c r="A145" s="7" t="s">
        <v>5</v>
      </c>
      <c r="B145" s="44" t="s">
        <v>6</v>
      </c>
      <c r="C145" s="12" t="s">
        <v>7</v>
      </c>
      <c r="D145" s="44" t="s">
        <v>8</v>
      </c>
      <c r="E145" s="44" t="s">
        <v>9</v>
      </c>
      <c r="F145" s="13"/>
      <c r="G145" s="13"/>
      <c r="H145" s="68"/>
      <c r="I145" s="70"/>
      <c r="J145" s="30"/>
      <c r="K145" s="30"/>
      <c r="L145" s="30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34.5" hidden="1" customHeight="1" x14ac:dyDescent="0.3">
      <c r="A146" s="14"/>
      <c r="B146" s="15" t="s">
        <v>10</v>
      </c>
      <c r="C146" s="14"/>
      <c r="D146" s="15" t="s">
        <v>11</v>
      </c>
      <c r="E146" s="15" t="s">
        <v>11</v>
      </c>
      <c r="F146" s="4"/>
      <c r="G146" s="4"/>
      <c r="H146" s="65"/>
      <c r="I146" s="70"/>
      <c r="J146" s="30"/>
      <c r="K146" s="30"/>
      <c r="L146" s="30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4.5" hidden="1" customHeight="1" x14ac:dyDescent="0.3">
      <c r="A147" s="7"/>
      <c r="B147" s="12" t="s">
        <v>12</v>
      </c>
      <c r="C147" s="45"/>
      <c r="D147" s="12" t="s">
        <v>13</v>
      </c>
      <c r="E147" s="12" t="s">
        <v>13</v>
      </c>
      <c r="F147" s="13"/>
      <c r="G147" s="13"/>
      <c r="H147" s="68"/>
      <c r="I147" s="70"/>
      <c r="J147" s="30"/>
      <c r="K147" s="30"/>
      <c r="L147" s="30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30" hidden="1" customHeight="1" x14ac:dyDescent="0.3">
      <c r="A148" s="19"/>
      <c r="B148" s="20"/>
      <c r="C148" s="20" t="s">
        <v>14</v>
      </c>
      <c r="D148" s="20" t="s">
        <v>14</v>
      </c>
      <c r="E148" s="20" t="s">
        <v>14</v>
      </c>
      <c r="F148" s="2"/>
      <c r="G148" s="2"/>
      <c r="H148" s="8"/>
      <c r="I148" s="70"/>
      <c r="J148" s="30"/>
      <c r="K148" s="30"/>
      <c r="L148" s="3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hidden="1" customHeight="1" x14ac:dyDescent="0.3">
      <c r="A149" s="46" t="s">
        <v>39</v>
      </c>
      <c r="B149" s="47">
        <f t="shared" ref="B149:D149" si="10">B152+B154+B156+B158+B160+B162+B164+B166+B168+B170+B172+B174+B176+B178+B180+B182</f>
        <v>3762</v>
      </c>
      <c r="C149" s="47">
        <f t="shared" si="10"/>
        <v>8391684.0099999998</v>
      </c>
      <c r="D149" s="47">
        <f t="shared" si="10"/>
        <v>5981083.7220000001</v>
      </c>
      <c r="E149" s="47">
        <f>E152+E154+E156+E158+E160+E162+E164+E166+E168+E170+E172+E174+E176+E178+E180+E182</f>
        <v>2410600.2879999997</v>
      </c>
      <c r="F149" s="2"/>
      <c r="G149" s="2"/>
      <c r="H149" s="8"/>
      <c r="I149" s="70"/>
      <c r="J149" s="30"/>
      <c r="K149" s="30"/>
      <c r="L149" s="30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hidden="1" customHeight="1" x14ac:dyDescent="0.3">
      <c r="A150" s="48" t="s">
        <v>40</v>
      </c>
      <c r="B150" s="47"/>
      <c r="C150" s="47"/>
      <c r="D150" s="47"/>
      <c r="E150" s="47"/>
      <c r="F150" s="2"/>
      <c r="G150" s="2"/>
      <c r="H150" s="8"/>
      <c r="I150" s="70"/>
      <c r="J150" s="30"/>
      <c r="K150" s="30"/>
      <c r="L150" s="3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9" hidden="1" customHeight="1" x14ac:dyDescent="0.3">
      <c r="A151" s="28"/>
      <c r="B151" s="29"/>
      <c r="C151" s="29"/>
      <c r="D151" s="29"/>
      <c r="E151" s="29"/>
      <c r="F151" s="2"/>
      <c r="G151" s="2"/>
      <c r="H151" s="8"/>
      <c r="I151" s="70"/>
      <c r="J151" s="30"/>
      <c r="K151" s="30"/>
      <c r="L151" s="3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hidden="1" customHeight="1" x14ac:dyDescent="0.3">
      <c r="A152" s="31" t="s">
        <v>16</v>
      </c>
      <c r="B152" s="32">
        <v>1322</v>
      </c>
      <c r="C152" s="32">
        <f>D152+E152</f>
        <v>1163817.4849999999</v>
      </c>
      <c r="D152" s="32">
        <f>793968588/1000</f>
        <v>793968.58799999999</v>
      </c>
      <c r="E152" s="32">
        <f>369848897/1000</f>
        <v>369848.897</v>
      </c>
      <c r="F152" s="2"/>
      <c r="G152" s="2"/>
      <c r="H152" s="8"/>
      <c r="I152" s="70"/>
      <c r="J152" s="30"/>
      <c r="K152" s="30"/>
      <c r="L152" s="3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9" hidden="1" customHeight="1" x14ac:dyDescent="0.3">
      <c r="A153" s="28"/>
      <c r="B153" s="29"/>
      <c r="C153" s="29"/>
      <c r="D153" s="29"/>
      <c r="E153" s="29"/>
      <c r="F153" s="2"/>
      <c r="G153" s="2"/>
      <c r="H153" s="8"/>
      <c r="I153" s="70"/>
      <c r="J153" s="30"/>
      <c r="K153" s="30"/>
      <c r="L153" s="30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hidden="1" customHeight="1" x14ac:dyDescent="0.3">
      <c r="A154" s="31" t="s">
        <v>17</v>
      </c>
      <c r="B154" s="32">
        <v>140</v>
      </c>
      <c r="C154" s="32">
        <f>D154+E154</f>
        <v>662135.37400000007</v>
      </c>
      <c r="D154" s="32">
        <f>588848533/1000</f>
        <v>588848.53300000005</v>
      </c>
      <c r="E154" s="32">
        <f>73286841/1000</f>
        <v>73286.841</v>
      </c>
      <c r="F154" s="2"/>
      <c r="G154" s="2"/>
      <c r="H154" s="8"/>
      <c r="I154" s="70"/>
      <c r="J154" s="30"/>
      <c r="K154" s="30"/>
      <c r="L154" s="30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9" hidden="1" customHeight="1" x14ac:dyDescent="0.3">
      <c r="A155" s="28"/>
      <c r="B155" s="29"/>
      <c r="C155" s="29"/>
      <c r="D155" s="29"/>
      <c r="E155" s="29"/>
      <c r="F155" s="2"/>
      <c r="G155" s="2"/>
      <c r="H155" s="8"/>
      <c r="I155" s="70"/>
      <c r="J155" s="30"/>
      <c r="K155" s="30"/>
      <c r="L155" s="30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hidden="1" customHeight="1" x14ac:dyDescent="0.3">
      <c r="A156" s="31" t="s">
        <v>18</v>
      </c>
      <c r="B156" s="32">
        <v>29</v>
      </c>
      <c r="C156" s="32">
        <f>D156+E156</f>
        <v>9999.89</v>
      </c>
      <c r="D156" s="32">
        <f>6365796/1000</f>
        <v>6365.7960000000003</v>
      </c>
      <c r="E156" s="32">
        <f>3634094/1000</f>
        <v>3634.0940000000001</v>
      </c>
      <c r="F156" s="2"/>
      <c r="G156" s="2"/>
      <c r="H156" s="8"/>
      <c r="I156" s="8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9.75" hidden="1" customHeight="1" x14ac:dyDescent="0.3">
      <c r="A157" s="28"/>
      <c r="B157" s="29"/>
      <c r="C157" s="29"/>
      <c r="D157" s="29"/>
      <c r="E157" s="29"/>
      <c r="F157" s="2"/>
      <c r="G157" s="2"/>
      <c r="H157" s="8"/>
      <c r="I157" s="8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hidden="1" customHeight="1" x14ac:dyDescent="0.3">
      <c r="A158" s="31" t="s">
        <v>19</v>
      </c>
      <c r="B158" s="32">
        <v>89</v>
      </c>
      <c r="C158" s="32">
        <f>D158+E158</f>
        <v>698252.66800000006</v>
      </c>
      <c r="D158" s="32">
        <f>364529982/1000</f>
        <v>364529.98200000002</v>
      </c>
      <c r="E158" s="32">
        <f>333722686/1000</f>
        <v>333722.68599999999</v>
      </c>
      <c r="F158" s="2"/>
      <c r="G158" s="2"/>
      <c r="H158" s="8"/>
      <c r="I158" s="65"/>
      <c r="J158" s="4"/>
      <c r="K158" s="4"/>
      <c r="L158" s="4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9" hidden="1" customHeight="1" x14ac:dyDescent="0.3">
      <c r="A159" s="28"/>
      <c r="B159" s="29"/>
      <c r="C159" s="29"/>
      <c r="D159" s="29"/>
      <c r="E159" s="29"/>
      <c r="F159" s="2"/>
      <c r="G159" s="2"/>
      <c r="H159" s="8"/>
      <c r="I159" s="66"/>
      <c r="J159" s="5"/>
      <c r="K159" s="5"/>
      <c r="L159" s="5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hidden="1" customHeight="1" x14ac:dyDescent="0.3">
      <c r="A160" s="31" t="s">
        <v>20</v>
      </c>
      <c r="B160" s="32">
        <v>112</v>
      </c>
      <c r="C160" s="32">
        <f>D160+E160</f>
        <v>279316.39600000001</v>
      </c>
      <c r="D160" s="32">
        <f>191627982/1000</f>
        <v>191627.98199999999</v>
      </c>
      <c r="E160" s="32">
        <f>87688414/1000</f>
        <v>87688.414000000004</v>
      </c>
      <c r="F160" s="2"/>
      <c r="G160" s="2"/>
      <c r="H160" s="8"/>
      <c r="I160" s="8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9" hidden="1" customHeight="1" x14ac:dyDescent="0.3">
      <c r="A161" s="28"/>
      <c r="B161" s="29"/>
      <c r="C161" s="29"/>
      <c r="D161" s="29"/>
      <c r="E161" s="29"/>
      <c r="F161" s="2"/>
      <c r="G161" s="2"/>
      <c r="H161" s="8"/>
      <c r="I161" s="67"/>
      <c r="J161" s="11"/>
      <c r="K161" s="11"/>
      <c r="L161" s="1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hidden="1" customHeight="1" x14ac:dyDescent="0.3">
      <c r="A162" s="31" t="s">
        <v>21</v>
      </c>
      <c r="B162" s="32">
        <v>52</v>
      </c>
      <c r="C162" s="32">
        <f>D162+E162</f>
        <v>283297.46899999998</v>
      </c>
      <c r="D162" s="32">
        <f>213871099/1000</f>
        <v>213871.09899999999</v>
      </c>
      <c r="E162" s="32">
        <f>69426370/1000</f>
        <v>69426.37</v>
      </c>
      <c r="F162" s="2"/>
      <c r="G162" s="2"/>
      <c r="H162" s="8"/>
      <c r="I162" s="68"/>
      <c r="J162" s="13"/>
      <c r="K162" s="13"/>
      <c r="L162" s="13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9" hidden="1" customHeight="1" x14ac:dyDescent="0.3">
      <c r="A163" s="28"/>
      <c r="B163" s="29"/>
      <c r="C163" s="29"/>
      <c r="D163" s="29"/>
      <c r="E163" s="29"/>
      <c r="F163" s="2"/>
      <c r="G163" s="2"/>
      <c r="H163" s="8"/>
      <c r="I163" s="65"/>
      <c r="J163" s="4"/>
      <c r="K163" s="4"/>
      <c r="L163" s="4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hidden="1" customHeight="1" x14ac:dyDescent="0.3">
      <c r="A164" s="31" t="s">
        <v>22</v>
      </c>
      <c r="B164" s="32">
        <v>326</v>
      </c>
      <c r="C164" s="32">
        <f>D164+E164</f>
        <v>2360334.3489999999</v>
      </c>
      <c r="D164" s="32">
        <f>2028221368/1000</f>
        <v>2028221.368</v>
      </c>
      <c r="E164" s="32">
        <f>332112981/1000</f>
        <v>332112.98100000003</v>
      </c>
      <c r="F164" s="2"/>
      <c r="G164" s="2"/>
      <c r="H164" s="8"/>
      <c r="I164" s="68"/>
      <c r="J164" s="13"/>
      <c r="K164" s="13"/>
      <c r="L164" s="13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9" hidden="1" customHeight="1" x14ac:dyDescent="0.3">
      <c r="A165" s="28"/>
      <c r="B165" s="29"/>
      <c r="C165" s="29"/>
      <c r="D165" s="29"/>
      <c r="E165" s="29"/>
      <c r="F165" s="2"/>
      <c r="G165" s="2"/>
      <c r="H165" s="8"/>
      <c r="I165" s="8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hidden="1" customHeight="1" x14ac:dyDescent="0.3">
      <c r="A166" s="31" t="s">
        <v>23</v>
      </c>
      <c r="B166" s="32">
        <v>200</v>
      </c>
      <c r="C166" s="32">
        <f>D166+E166</f>
        <v>223415.90499999997</v>
      </c>
      <c r="D166" s="32">
        <f>144942648/1000</f>
        <v>144942.64799999999</v>
      </c>
      <c r="E166" s="32">
        <f>78473257/1000</f>
        <v>78473.256999999998</v>
      </c>
      <c r="F166" s="2"/>
      <c r="G166" s="2"/>
      <c r="H166" s="8"/>
      <c r="I166" s="8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9" hidden="1" customHeight="1" x14ac:dyDescent="0.3">
      <c r="A167" s="28"/>
      <c r="B167" s="29"/>
      <c r="C167" s="29"/>
      <c r="D167" s="29"/>
      <c r="E167" s="29"/>
      <c r="F167" s="2"/>
      <c r="G167" s="2"/>
      <c r="H167" s="8"/>
      <c r="I167" s="8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hidden="1" customHeight="1" x14ac:dyDescent="0.3">
      <c r="A168" s="31" t="s">
        <v>24</v>
      </c>
      <c r="B168" s="32">
        <v>7</v>
      </c>
      <c r="C168" s="32">
        <f>D168+E168</f>
        <v>11439.723</v>
      </c>
      <c r="D168" s="32">
        <f>5916163/1000</f>
        <v>5916.1629999999996</v>
      </c>
      <c r="E168" s="32">
        <f>5523560/1000</f>
        <v>5523.56</v>
      </c>
      <c r="F168" s="2"/>
      <c r="G168" s="2"/>
      <c r="H168" s="8"/>
      <c r="I168" s="8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9" hidden="1" customHeight="1" x14ac:dyDescent="0.3">
      <c r="A169" s="28"/>
      <c r="B169" s="29"/>
      <c r="C169" s="29"/>
      <c r="D169" s="29"/>
      <c r="E169" s="29"/>
      <c r="F169" s="2"/>
      <c r="G169" s="2"/>
      <c r="H169" s="8"/>
      <c r="I169" s="8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hidden="1" customHeight="1" x14ac:dyDescent="0.3">
      <c r="A170" s="31" t="s">
        <v>25</v>
      </c>
      <c r="B170" s="32">
        <v>1179</v>
      </c>
      <c r="C170" s="32">
        <f>D170+E170</f>
        <v>1687683.9470000002</v>
      </c>
      <c r="D170" s="32">
        <f>1088234686/1000</f>
        <v>1088234.686</v>
      </c>
      <c r="E170" s="32">
        <f>599449261/1000</f>
        <v>599449.26100000006</v>
      </c>
      <c r="F170" s="2"/>
      <c r="G170" s="2"/>
      <c r="H170" s="8"/>
      <c r="I170" s="8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9" hidden="1" customHeight="1" x14ac:dyDescent="0.3">
      <c r="A171" s="28"/>
      <c r="B171" s="29"/>
      <c r="C171" s="29"/>
      <c r="D171" s="29"/>
      <c r="E171" s="29"/>
      <c r="F171" s="2"/>
      <c r="G171" s="2"/>
      <c r="H171" s="8"/>
      <c r="I171" s="8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hidden="1" customHeight="1" x14ac:dyDescent="0.3">
      <c r="A172" s="31" t="s">
        <v>26</v>
      </c>
      <c r="B172" s="32">
        <v>29</v>
      </c>
      <c r="C172" s="32">
        <f>D172+E172</f>
        <v>170259.13400000002</v>
      </c>
      <c r="D172" s="32">
        <f>104610039/1000</f>
        <v>104610.039</v>
      </c>
      <c r="E172" s="32">
        <f>65649095/1000</f>
        <v>65649.095000000001</v>
      </c>
      <c r="F172" s="2"/>
      <c r="G172" s="2"/>
      <c r="H172" s="8"/>
      <c r="I172" s="8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9" hidden="1" customHeight="1" x14ac:dyDescent="0.3">
      <c r="A173" s="28"/>
      <c r="B173" s="29"/>
      <c r="C173" s="29"/>
      <c r="D173" s="29"/>
      <c r="E173" s="29"/>
      <c r="F173" s="2"/>
      <c r="G173" s="2"/>
      <c r="H173" s="8"/>
      <c r="I173" s="8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hidden="1" customHeight="1" x14ac:dyDescent="0.3">
      <c r="A174" s="31" t="s">
        <v>27</v>
      </c>
      <c r="B174" s="32">
        <v>88</v>
      </c>
      <c r="C174" s="32">
        <f>D174+E174</f>
        <v>260083.83100000001</v>
      </c>
      <c r="D174" s="32">
        <f>132854549/1000</f>
        <v>132854.549</v>
      </c>
      <c r="E174" s="32">
        <f>127229282/1000</f>
        <v>127229.28200000001</v>
      </c>
      <c r="F174" s="2"/>
      <c r="G174" s="2"/>
      <c r="H174" s="8"/>
      <c r="I174" s="8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9" hidden="1" customHeight="1" x14ac:dyDescent="0.3">
      <c r="A175" s="28"/>
      <c r="B175" s="29"/>
      <c r="C175" s="29"/>
      <c r="D175" s="29"/>
      <c r="E175" s="29"/>
      <c r="F175" s="2"/>
      <c r="G175" s="2"/>
      <c r="H175" s="8"/>
      <c r="I175" s="8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hidden="1" customHeight="1" x14ac:dyDescent="0.3">
      <c r="A176" s="31" t="s">
        <v>28</v>
      </c>
      <c r="B176" s="32">
        <v>103</v>
      </c>
      <c r="C176" s="32">
        <f>D176+E176</f>
        <v>478166.42099999997</v>
      </c>
      <c r="D176" s="32">
        <f>260782860/1000</f>
        <v>260782.86</v>
      </c>
      <c r="E176" s="32">
        <f>217383561/1000</f>
        <v>217383.56099999999</v>
      </c>
      <c r="F176" s="2"/>
      <c r="G176" s="2"/>
      <c r="H176" s="8"/>
      <c r="I176" s="8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9" hidden="1" customHeight="1" x14ac:dyDescent="0.3">
      <c r="A177" s="28"/>
      <c r="B177" s="29"/>
      <c r="C177" s="29"/>
      <c r="D177" s="29"/>
      <c r="E177" s="29"/>
      <c r="F177" s="2"/>
      <c r="G177" s="2"/>
      <c r="H177" s="8"/>
      <c r="I177" s="8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hidden="1" customHeight="1" x14ac:dyDescent="0.3">
      <c r="A178" s="31" t="s">
        <v>29</v>
      </c>
      <c r="B178" s="32">
        <v>81</v>
      </c>
      <c r="C178" s="32">
        <f>D178+E178</f>
        <v>88161.888999999996</v>
      </c>
      <c r="D178" s="32">
        <f>48468002/1000</f>
        <v>48468.002</v>
      </c>
      <c r="E178" s="32">
        <f>39693887/1000</f>
        <v>39693.887000000002</v>
      </c>
      <c r="F178" s="2"/>
      <c r="G178" s="2"/>
      <c r="H178" s="8"/>
      <c r="I178" s="8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9" hidden="1" customHeight="1" x14ac:dyDescent="0.3">
      <c r="A179" s="28"/>
      <c r="B179" s="29"/>
      <c r="C179" s="29"/>
      <c r="D179" s="29"/>
      <c r="E179" s="29"/>
      <c r="F179" s="2"/>
      <c r="G179" s="2"/>
      <c r="H179" s="8"/>
      <c r="I179" s="8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hidden="1" customHeight="1" x14ac:dyDescent="0.3">
      <c r="A180" s="31" t="s">
        <v>30</v>
      </c>
      <c r="B180" s="32">
        <v>5</v>
      </c>
      <c r="C180" s="32">
        <f>D180+E180</f>
        <v>15319.528999999999</v>
      </c>
      <c r="D180" s="32">
        <f>7841427/1000</f>
        <v>7841.4269999999997</v>
      </c>
      <c r="E180" s="32">
        <f>7478102/1000</f>
        <v>7478.1019999999999</v>
      </c>
      <c r="F180" s="2"/>
      <c r="G180" s="2"/>
      <c r="H180" s="8"/>
      <c r="I180" s="8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9" hidden="1" customHeight="1" x14ac:dyDescent="0.3">
      <c r="A181" s="28"/>
      <c r="B181" s="29"/>
      <c r="C181" s="29"/>
      <c r="D181" s="29"/>
      <c r="E181" s="29"/>
      <c r="F181" s="2"/>
      <c r="G181" s="2"/>
      <c r="H181" s="8"/>
      <c r="I181" s="8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hidden="1" customHeight="1" x14ac:dyDescent="0.3">
      <c r="A182" s="31" t="s">
        <v>31</v>
      </c>
      <c r="B182" s="32">
        <v>0</v>
      </c>
      <c r="C182" s="32">
        <f>D182+E182</f>
        <v>0</v>
      </c>
      <c r="D182" s="32">
        <v>0</v>
      </c>
      <c r="E182" s="32">
        <v>0</v>
      </c>
      <c r="F182" s="2"/>
      <c r="G182" s="2"/>
      <c r="H182" s="8"/>
      <c r="I182" s="8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9" hidden="1" customHeight="1" x14ac:dyDescent="0.3">
      <c r="A183" s="28"/>
      <c r="B183" s="49"/>
      <c r="C183" s="49"/>
      <c r="D183" s="49"/>
      <c r="E183" s="49"/>
      <c r="F183" s="2"/>
      <c r="G183" s="2"/>
      <c r="H183" s="8"/>
      <c r="I183" s="8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9" hidden="1" customHeight="1" x14ac:dyDescent="0.3">
      <c r="A184" s="25"/>
      <c r="B184" s="40"/>
      <c r="C184" s="40"/>
      <c r="D184" s="40"/>
      <c r="E184" s="40"/>
      <c r="F184" s="27"/>
      <c r="G184" s="27"/>
      <c r="H184" s="69"/>
      <c r="I184" s="8"/>
      <c r="J184" s="2"/>
      <c r="K184" s="2"/>
      <c r="L184" s="2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2.75" hidden="1" customHeight="1" x14ac:dyDescent="0.3">
      <c r="A185" s="50"/>
      <c r="B185" s="2"/>
      <c r="C185" s="51"/>
      <c r="D185" s="52"/>
      <c r="E185" s="52"/>
      <c r="F185" s="2"/>
      <c r="G185" s="2"/>
      <c r="H185" s="8"/>
      <c r="I185" s="8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hidden="1" customHeight="1" x14ac:dyDescent="0.3">
      <c r="A186" s="74" t="s">
        <v>33</v>
      </c>
      <c r="B186" s="73"/>
      <c r="C186" s="73"/>
      <c r="D186" s="73"/>
      <c r="E186" s="73"/>
      <c r="F186" s="4"/>
      <c r="G186" s="4"/>
      <c r="H186" s="65"/>
      <c r="I186" s="8"/>
      <c r="J186" s="2"/>
      <c r="K186" s="2"/>
      <c r="L186" s="2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2.5" hidden="1" customHeight="1" x14ac:dyDescent="0.3">
      <c r="A187" s="72" t="s">
        <v>34</v>
      </c>
      <c r="B187" s="73"/>
      <c r="C187" s="73"/>
      <c r="D187" s="73"/>
      <c r="E187" s="73"/>
      <c r="F187" s="5"/>
      <c r="G187" s="5"/>
      <c r="H187" s="66"/>
      <c r="I187" s="8"/>
      <c r="J187" s="2"/>
      <c r="K187" s="2"/>
      <c r="L187" s="2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" hidden="1" customHeight="1" x14ac:dyDescent="0.3">
      <c r="A188" s="6"/>
      <c r="B188" s="2"/>
      <c r="C188" s="2"/>
      <c r="D188" s="2"/>
      <c r="E188" s="2"/>
      <c r="F188" s="2"/>
      <c r="G188" s="2"/>
      <c r="H188" s="8"/>
      <c r="I188" s="8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34.5" hidden="1" customHeight="1" x14ac:dyDescent="0.3">
      <c r="A189" s="42" t="s">
        <v>0</v>
      </c>
      <c r="B189" s="43" t="s">
        <v>1</v>
      </c>
      <c r="C189" s="15" t="s">
        <v>2</v>
      </c>
      <c r="D189" s="43" t="s">
        <v>3</v>
      </c>
      <c r="E189" s="43" t="s">
        <v>4</v>
      </c>
      <c r="F189" s="11"/>
      <c r="G189" s="11"/>
      <c r="H189" s="67"/>
      <c r="I189" s="8"/>
      <c r="J189" s="2"/>
      <c r="K189" s="2"/>
      <c r="L189" s="2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30" hidden="1" customHeight="1" x14ac:dyDescent="0.3">
      <c r="A190" s="7" t="s">
        <v>5</v>
      </c>
      <c r="B190" s="44" t="s">
        <v>6</v>
      </c>
      <c r="C190" s="12" t="s">
        <v>7</v>
      </c>
      <c r="D190" s="44" t="s">
        <v>8</v>
      </c>
      <c r="E190" s="44" t="s">
        <v>9</v>
      </c>
      <c r="F190" s="13"/>
      <c r="G190" s="13"/>
      <c r="H190" s="68"/>
      <c r="I190" s="8"/>
      <c r="J190" s="2"/>
      <c r="K190" s="2"/>
      <c r="L190" s="2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34.5" hidden="1" customHeight="1" x14ac:dyDescent="0.3">
      <c r="A191" s="14"/>
      <c r="B191" s="15" t="s">
        <v>10</v>
      </c>
      <c r="C191" s="14"/>
      <c r="D191" s="15" t="s">
        <v>11</v>
      </c>
      <c r="E191" s="15" t="s">
        <v>11</v>
      </c>
      <c r="F191" s="4"/>
      <c r="G191" s="4"/>
      <c r="H191" s="65"/>
      <c r="I191" s="8"/>
      <c r="J191" s="2"/>
      <c r="K191" s="2"/>
      <c r="L191" s="2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34.5" hidden="1" customHeight="1" x14ac:dyDescent="0.3">
      <c r="A192" s="7"/>
      <c r="B192" s="12" t="s">
        <v>12</v>
      </c>
      <c r="C192" s="45"/>
      <c r="D192" s="12" t="s">
        <v>13</v>
      </c>
      <c r="E192" s="12" t="s">
        <v>13</v>
      </c>
      <c r="F192" s="13"/>
      <c r="G192" s="13"/>
      <c r="H192" s="68"/>
      <c r="I192" s="8"/>
      <c r="J192" s="2"/>
      <c r="K192" s="2"/>
      <c r="L192" s="2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30" hidden="1" customHeight="1" x14ac:dyDescent="0.3">
      <c r="A193" s="19"/>
      <c r="B193" s="20"/>
      <c r="C193" s="20" t="s">
        <v>14</v>
      </c>
      <c r="D193" s="20" t="s">
        <v>14</v>
      </c>
      <c r="E193" s="20" t="s">
        <v>14</v>
      </c>
      <c r="F193" s="2"/>
      <c r="G193" s="2"/>
      <c r="H193" s="8"/>
      <c r="I193" s="8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hidden="1" customHeight="1" x14ac:dyDescent="0.3">
      <c r="A194" s="46" t="s">
        <v>41</v>
      </c>
      <c r="B194" s="47">
        <f t="shared" ref="B194:D194" si="11">B197+B199+B201+B203+B205+B207+B209+B211+B213+B215+B217+B219+B221+B223+B225+B227</f>
        <v>988</v>
      </c>
      <c r="C194" s="47">
        <f t="shared" si="11"/>
        <v>103250.11800000002</v>
      </c>
      <c r="D194" s="47">
        <f t="shared" si="11"/>
        <v>35709.061999999991</v>
      </c>
      <c r="E194" s="47">
        <f>E197+E199+E201+E203+E205+E207+E209+E211+E213+E215+E217+E219+E221+E223+E225+E227</f>
        <v>67541.055999999982</v>
      </c>
      <c r="F194" s="2"/>
      <c r="G194" s="2"/>
      <c r="H194" s="8"/>
      <c r="I194" s="8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hidden="1" customHeight="1" x14ac:dyDescent="0.3">
      <c r="A195" s="48" t="s">
        <v>42</v>
      </c>
      <c r="B195" s="47"/>
      <c r="C195" s="47"/>
      <c r="D195" s="47"/>
      <c r="E195" s="47"/>
      <c r="F195" s="2"/>
      <c r="G195" s="2"/>
      <c r="H195" s="8"/>
      <c r="I195" s="8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9" hidden="1" customHeight="1" x14ac:dyDescent="0.3">
      <c r="A196" s="28"/>
      <c r="B196" s="29"/>
      <c r="C196" s="29"/>
      <c r="D196" s="29"/>
      <c r="E196" s="29"/>
      <c r="F196" s="2"/>
      <c r="G196" s="2"/>
      <c r="H196" s="8"/>
      <c r="I196" s="8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hidden="1" customHeight="1" x14ac:dyDescent="0.3">
      <c r="A197" s="31" t="s">
        <v>16</v>
      </c>
      <c r="B197" s="53">
        <v>132</v>
      </c>
      <c r="C197" s="32">
        <f>D197+E197</f>
        <v>9295.8320000000003</v>
      </c>
      <c r="D197" s="32">
        <f>1065611/1000</f>
        <v>1065.6110000000001</v>
      </c>
      <c r="E197" s="32">
        <f>8230221/1000</f>
        <v>8230.2209999999995</v>
      </c>
      <c r="F197" s="2"/>
      <c r="G197" s="2"/>
      <c r="H197" s="8"/>
      <c r="I197" s="8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9" hidden="1" customHeight="1" x14ac:dyDescent="0.3">
      <c r="A198" s="28"/>
      <c r="B198" s="29"/>
      <c r="C198" s="29"/>
      <c r="D198" s="29"/>
      <c r="E198" s="29"/>
      <c r="F198" s="2"/>
      <c r="G198" s="2"/>
      <c r="H198" s="8"/>
      <c r="I198" s="8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hidden="1" customHeight="1" x14ac:dyDescent="0.3">
      <c r="A199" s="31" t="s">
        <v>17</v>
      </c>
      <c r="B199" s="53">
        <v>11</v>
      </c>
      <c r="C199" s="32">
        <f>D199+E199</f>
        <v>364.18299999999999</v>
      </c>
      <c r="D199" s="32">
        <f>91679/1000</f>
        <v>91.679000000000002</v>
      </c>
      <c r="E199" s="32">
        <f>272504/1000</f>
        <v>272.50400000000002</v>
      </c>
      <c r="F199" s="2"/>
      <c r="G199" s="2"/>
      <c r="H199" s="8"/>
      <c r="I199" s="8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9" hidden="1" customHeight="1" x14ac:dyDescent="0.3">
      <c r="A200" s="28"/>
      <c r="B200" s="29"/>
      <c r="C200" s="29"/>
      <c r="D200" s="29"/>
      <c r="E200" s="29"/>
      <c r="F200" s="2"/>
      <c r="G200" s="2"/>
      <c r="H200" s="8"/>
      <c r="I200" s="8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hidden="1" customHeight="1" x14ac:dyDescent="0.3">
      <c r="A201" s="31" t="s">
        <v>18</v>
      </c>
      <c r="B201" s="53">
        <v>9</v>
      </c>
      <c r="C201" s="32">
        <f>D201+E201</f>
        <v>202.58599999999998</v>
      </c>
      <c r="D201" s="32">
        <f>7623/1000</f>
        <v>7.6230000000000002</v>
      </c>
      <c r="E201" s="32">
        <f>194963/1000</f>
        <v>194.96299999999999</v>
      </c>
      <c r="F201" s="2"/>
      <c r="G201" s="2"/>
      <c r="H201" s="8"/>
      <c r="I201" s="69"/>
      <c r="J201" s="27"/>
      <c r="K201" s="27"/>
      <c r="L201" s="27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9" hidden="1" customHeight="1" x14ac:dyDescent="0.3">
      <c r="A202" s="28"/>
      <c r="B202" s="29"/>
      <c r="C202" s="29"/>
      <c r="D202" s="29"/>
      <c r="E202" s="29"/>
      <c r="F202" s="2"/>
      <c r="G202" s="2"/>
      <c r="H202" s="8"/>
      <c r="I202" s="8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hidden="1" customHeight="1" x14ac:dyDescent="0.3">
      <c r="A203" s="31" t="s">
        <v>19</v>
      </c>
      <c r="B203" s="53">
        <v>20</v>
      </c>
      <c r="C203" s="32">
        <f>D203+E203</f>
        <v>1262.5650000000001</v>
      </c>
      <c r="D203" s="32">
        <f>1011378/1000</f>
        <v>1011.378</v>
      </c>
      <c r="E203" s="32">
        <f>251187/1000</f>
        <v>251.18700000000001</v>
      </c>
      <c r="F203" s="2"/>
      <c r="G203" s="2"/>
      <c r="H203" s="8"/>
      <c r="I203" s="65"/>
      <c r="J203" s="4"/>
      <c r="K203" s="4"/>
      <c r="L203" s="4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9" hidden="1" customHeight="1" x14ac:dyDescent="0.3">
      <c r="A204" s="28"/>
      <c r="B204" s="29"/>
      <c r="C204" s="29"/>
      <c r="D204" s="29"/>
      <c r="E204" s="29"/>
      <c r="F204" s="2"/>
      <c r="G204" s="2"/>
      <c r="H204" s="8"/>
      <c r="I204" s="66"/>
      <c r="J204" s="5"/>
      <c r="K204" s="5"/>
      <c r="L204" s="5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hidden="1" customHeight="1" x14ac:dyDescent="0.3">
      <c r="A205" s="31" t="s">
        <v>20</v>
      </c>
      <c r="B205" s="53">
        <v>15</v>
      </c>
      <c r="C205" s="32">
        <f>D205+E205</f>
        <v>1299.3</v>
      </c>
      <c r="D205" s="32">
        <f>603247/1000</f>
        <v>603.24699999999996</v>
      </c>
      <c r="E205" s="32">
        <f>696053/1000</f>
        <v>696.053</v>
      </c>
      <c r="F205" s="2"/>
      <c r="G205" s="2"/>
      <c r="H205" s="8"/>
      <c r="I205" s="8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9" hidden="1" customHeight="1" x14ac:dyDescent="0.3">
      <c r="A206" s="28"/>
      <c r="B206" s="29"/>
      <c r="C206" s="29"/>
      <c r="D206" s="29"/>
      <c r="E206" s="29"/>
      <c r="F206" s="2"/>
      <c r="G206" s="2"/>
      <c r="H206" s="8"/>
      <c r="I206" s="67"/>
      <c r="J206" s="11"/>
      <c r="K206" s="11"/>
      <c r="L206" s="1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hidden="1" customHeight="1" x14ac:dyDescent="0.3">
      <c r="A207" s="31" t="s">
        <v>21</v>
      </c>
      <c r="B207" s="53">
        <v>37</v>
      </c>
      <c r="C207" s="32">
        <f>D207+E207</f>
        <v>1582.3469999999998</v>
      </c>
      <c r="D207" s="32">
        <f>360150/1000</f>
        <v>360.15</v>
      </c>
      <c r="E207" s="32">
        <f>1222197/1000</f>
        <v>1222.1969999999999</v>
      </c>
      <c r="F207" s="2"/>
      <c r="G207" s="2"/>
      <c r="H207" s="8"/>
      <c r="I207" s="68"/>
      <c r="J207" s="13"/>
      <c r="K207" s="13"/>
      <c r="L207" s="13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9" hidden="1" customHeight="1" x14ac:dyDescent="0.3">
      <c r="A208" s="28"/>
      <c r="B208" s="29"/>
      <c r="C208" s="29"/>
      <c r="D208" s="29"/>
      <c r="E208" s="29"/>
      <c r="F208" s="2"/>
      <c r="G208" s="2"/>
      <c r="H208" s="8"/>
      <c r="I208" s="65"/>
      <c r="J208" s="4"/>
      <c r="K208" s="4"/>
      <c r="L208" s="4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hidden="1" customHeight="1" x14ac:dyDescent="0.3">
      <c r="A209" s="31" t="s">
        <v>22</v>
      </c>
      <c r="B209" s="53">
        <v>62</v>
      </c>
      <c r="C209" s="32">
        <f>D209+E209</f>
        <v>8657.905999999999</v>
      </c>
      <c r="D209" s="32">
        <f>6275813/1000</f>
        <v>6275.8130000000001</v>
      </c>
      <c r="E209" s="32">
        <f>2382093/1000</f>
        <v>2382.0929999999998</v>
      </c>
      <c r="F209" s="2"/>
      <c r="G209" s="2"/>
      <c r="H209" s="8"/>
      <c r="I209" s="68"/>
      <c r="J209" s="13"/>
      <c r="K209" s="13"/>
      <c r="L209" s="13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9" hidden="1" customHeight="1" x14ac:dyDescent="0.3">
      <c r="A210" s="28"/>
      <c r="B210" s="29"/>
      <c r="C210" s="29"/>
      <c r="D210" s="29"/>
      <c r="E210" s="29"/>
      <c r="F210" s="2"/>
      <c r="G210" s="2"/>
      <c r="H210" s="8"/>
      <c r="I210" s="8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hidden="1" customHeight="1" x14ac:dyDescent="0.3">
      <c r="A211" s="31" t="s">
        <v>23</v>
      </c>
      <c r="B211" s="53">
        <v>18</v>
      </c>
      <c r="C211" s="32">
        <f>D211+E211</f>
        <v>2818.4539999999997</v>
      </c>
      <c r="D211" s="32">
        <f>1085625/1000</f>
        <v>1085.625</v>
      </c>
      <c r="E211" s="32">
        <f>1732829/1000</f>
        <v>1732.829</v>
      </c>
      <c r="F211" s="2"/>
      <c r="G211" s="2"/>
      <c r="H211" s="8"/>
      <c r="I211" s="8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9" hidden="1" customHeight="1" x14ac:dyDescent="0.3">
      <c r="A212" s="28"/>
      <c r="B212" s="29"/>
      <c r="C212" s="29"/>
      <c r="D212" s="29"/>
      <c r="E212" s="29"/>
      <c r="F212" s="2"/>
      <c r="G212" s="2"/>
      <c r="H212" s="8"/>
      <c r="I212" s="8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hidden="1" customHeight="1" x14ac:dyDescent="0.3">
      <c r="A213" s="31" t="s">
        <v>24</v>
      </c>
      <c r="B213" s="53">
        <v>1</v>
      </c>
      <c r="C213" s="32">
        <f>D213+E213</f>
        <v>1.4790000000000001</v>
      </c>
      <c r="D213" s="32">
        <f>1479/1000</f>
        <v>1.4790000000000001</v>
      </c>
      <c r="E213" s="32">
        <v>0</v>
      </c>
      <c r="F213" s="2"/>
      <c r="G213" s="2"/>
      <c r="H213" s="8"/>
      <c r="I213" s="8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9" hidden="1" customHeight="1" x14ac:dyDescent="0.3">
      <c r="A214" s="28"/>
      <c r="B214" s="29"/>
      <c r="C214" s="29"/>
      <c r="D214" s="29"/>
      <c r="E214" s="29"/>
      <c r="F214" s="2"/>
      <c r="G214" s="2"/>
      <c r="H214" s="8"/>
      <c r="I214" s="8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hidden="1" customHeight="1" x14ac:dyDescent="0.3">
      <c r="A215" s="31" t="s">
        <v>25</v>
      </c>
      <c r="B215" s="53">
        <v>379</v>
      </c>
      <c r="C215" s="32">
        <f>D215+E215</f>
        <v>47310.497000000003</v>
      </c>
      <c r="D215" s="32">
        <f>17270618/1000</f>
        <v>17270.617999999999</v>
      </c>
      <c r="E215" s="32">
        <f>30039879/1000</f>
        <v>30039.879000000001</v>
      </c>
      <c r="F215" s="2"/>
      <c r="G215" s="2"/>
      <c r="H215" s="8"/>
      <c r="I215" s="8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9" hidden="1" customHeight="1" x14ac:dyDescent="0.3">
      <c r="A216" s="28"/>
      <c r="B216" s="29"/>
      <c r="C216" s="29"/>
      <c r="D216" s="29"/>
      <c r="E216" s="29"/>
      <c r="F216" s="2"/>
      <c r="G216" s="2"/>
      <c r="H216" s="8"/>
      <c r="I216" s="8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hidden="1" customHeight="1" x14ac:dyDescent="0.3">
      <c r="A217" s="31" t="s">
        <v>26</v>
      </c>
      <c r="B217" s="53">
        <v>13</v>
      </c>
      <c r="C217" s="32">
        <f>D217+E217</f>
        <v>4252.1660000000002</v>
      </c>
      <c r="D217" s="32">
        <f>93519/1000</f>
        <v>93.519000000000005</v>
      </c>
      <c r="E217" s="32">
        <f>4158647/1000</f>
        <v>4158.6469999999999</v>
      </c>
      <c r="F217" s="2"/>
      <c r="G217" s="2"/>
      <c r="H217" s="8"/>
      <c r="I217" s="8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9" hidden="1" customHeight="1" x14ac:dyDescent="0.3">
      <c r="A218" s="28"/>
      <c r="B218" s="29"/>
      <c r="C218" s="29"/>
      <c r="D218" s="29"/>
      <c r="E218" s="29"/>
      <c r="F218" s="2"/>
      <c r="G218" s="2"/>
      <c r="H218" s="8"/>
      <c r="I218" s="8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hidden="1" customHeight="1" x14ac:dyDescent="0.3">
      <c r="A219" s="31" t="s">
        <v>27</v>
      </c>
      <c r="B219" s="53">
        <v>15</v>
      </c>
      <c r="C219" s="32">
        <f>D219+E219</f>
        <v>2238.7089999999998</v>
      </c>
      <c r="D219" s="32">
        <f>1419207/1000</f>
        <v>1419.2070000000001</v>
      </c>
      <c r="E219" s="32">
        <f>819502/1000</f>
        <v>819.50199999999995</v>
      </c>
      <c r="F219" s="2"/>
      <c r="G219" s="2"/>
      <c r="H219" s="8"/>
      <c r="I219" s="8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9" hidden="1" customHeight="1" x14ac:dyDescent="0.3">
      <c r="A220" s="28"/>
      <c r="B220" s="29"/>
      <c r="C220" s="29"/>
      <c r="D220" s="29"/>
      <c r="E220" s="29"/>
      <c r="F220" s="2"/>
      <c r="G220" s="2"/>
      <c r="H220" s="8"/>
      <c r="I220" s="8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hidden="1" customHeight="1" x14ac:dyDescent="0.3">
      <c r="A221" s="31" t="s">
        <v>28</v>
      </c>
      <c r="B221" s="53">
        <v>30</v>
      </c>
      <c r="C221" s="32">
        <f>D221+E221</f>
        <v>3160.8580000000002</v>
      </c>
      <c r="D221" s="32">
        <f>944798/1000</f>
        <v>944.798</v>
      </c>
      <c r="E221" s="32">
        <f>2216060/1000</f>
        <v>2216.06</v>
      </c>
      <c r="F221" s="2"/>
      <c r="G221" s="2"/>
      <c r="H221" s="8"/>
      <c r="I221" s="8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9" hidden="1" customHeight="1" x14ac:dyDescent="0.3">
      <c r="A222" s="28"/>
      <c r="B222" s="29"/>
      <c r="C222" s="29"/>
      <c r="D222" s="29"/>
      <c r="E222" s="29"/>
      <c r="F222" s="2"/>
      <c r="G222" s="2"/>
      <c r="H222" s="8"/>
      <c r="I222" s="8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hidden="1" customHeight="1" x14ac:dyDescent="0.3">
      <c r="A223" s="31" t="s">
        <v>29</v>
      </c>
      <c r="B223" s="53">
        <v>211</v>
      </c>
      <c r="C223" s="32">
        <f>D223+E223</f>
        <v>17781.468000000001</v>
      </c>
      <c r="D223" s="32">
        <f>4709007/1000</f>
        <v>4709.0069999999996</v>
      </c>
      <c r="E223" s="32">
        <f>13072461/1000</f>
        <v>13072.460999999999</v>
      </c>
      <c r="F223" s="2"/>
      <c r="G223" s="2"/>
      <c r="H223" s="8"/>
      <c r="I223" s="8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9" hidden="1" customHeight="1" x14ac:dyDescent="0.3">
      <c r="A224" s="28"/>
      <c r="B224" s="29"/>
      <c r="C224" s="29"/>
      <c r="D224" s="29"/>
      <c r="E224" s="29"/>
      <c r="F224" s="2"/>
      <c r="G224" s="2"/>
      <c r="H224" s="8"/>
      <c r="I224" s="8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hidden="1" customHeight="1" x14ac:dyDescent="0.3">
      <c r="A225" s="31" t="s">
        <v>30</v>
      </c>
      <c r="B225" s="53">
        <v>1</v>
      </c>
      <c r="C225" s="32">
        <f>D225+E225</f>
        <v>122.467</v>
      </c>
      <c r="D225" s="32">
        <v>0</v>
      </c>
      <c r="E225" s="32">
        <f>122467/1000</f>
        <v>122.467</v>
      </c>
      <c r="F225" s="2"/>
      <c r="G225" s="2"/>
      <c r="H225" s="8"/>
      <c r="I225" s="8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9" hidden="1" customHeight="1" x14ac:dyDescent="0.3">
      <c r="A226" s="28"/>
      <c r="B226" s="29"/>
      <c r="C226" s="29"/>
      <c r="D226" s="29"/>
      <c r="E226" s="29"/>
      <c r="F226" s="2"/>
      <c r="G226" s="2"/>
      <c r="H226" s="8"/>
      <c r="I226" s="8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hidden="1" customHeight="1" x14ac:dyDescent="0.3">
      <c r="A227" s="31" t="s">
        <v>31</v>
      </c>
      <c r="B227" s="53">
        <v>34</v>
      </c>
      <c r="C227" s="32">
        <f>D227+E227</f>
        <v>2899.3009999999999</v>
      </c>
      <c r="D227" s="32">
        <f>769308/1000</f>
        <v>769.30799999999999</v>
      </c>
      <c r="E227" s="32">
        <f>2129993/1000</f>
        <v>2129.9929999999999</v>
      </c>
      <c r="F227" s="2"/>
      <c r="G227" s="2"/>
      <c r="H227" s="8"/>
      <c r="I227" s="8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9" hidden="1" customHeight="1" x14ac:dyDescent="0.3">
      <c r="A228" s="28"/>
      <c r="B228" s="49"/>
      <c r="C228" s="49"/>
      <c r="D228" s="49"/>
      <c r="E228" s="49"/>
      <c r="F228" s="2"/>
      <c r="G228" s="2"/>
      <c r="H228" s="8"/>
      <c r="I228" s="8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9" hidden="1" customHeight="1" x14ac:dyDescent="0.3">
      <c r="A229" s="25"/>
      <c r="B229" s="40"/>
      <c r="C229" s="40"/>
      <c r="D229" s="40"/>
      <c r="E229" s="40"/>
      <c r="F229" s="27"/>
      <c r="G229" s="27"/>
      <c r="H229" s="69"/>
      <c r="I229" s="8"/>
      <c r="J229" s="2"/>
      <c r="K229" s="2"/>
      <c r="L229" s="2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2.75" hidden="1" customHeight="1" x14ac:dyDescent="0.3">
      <c r="A230" s="50"/>
      <c r="B230" s="2"/>
      <c r="C230" s="51"/>
      <c r="D230" s="52"/>
      <c r="E230" s="52"/>
      <c r="F230" s="2"/>
      <c r="G230" s="2"/>
      <c r="H230" s="8"/>
      <c r="I230" s="8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hidden="1" customHeight="1" x14ac:dyDescent="0.3">
      <c r="A231" s="74" t="s">
        <v>33</v>
      </c>
      <c r="B231" s="73"/>
      <c r="C231" s="73"/>
      <c r="D231" s="73"/>
      <c r="E231" s="73"/>
      <c r="F231" s="4"/>
      <c r="G231" s="4"/>
      <c r="H231" s="65"/>
      <c r="I231" s="8"/>
      <c r="J231" s="2"/>
      <c r="K231" s="2"/>
      <c r="L231" s="2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2.5" hidden="1" customHeight="1" x14ac:dyDescent="0.3">
      <c r="A232" s="72" t="s">
        <v>34</v>
      </c>
      <c r="B232" s="73"/>
      <c r="C232" s="73"/>
      <c r="D232" s="73"/>
      <c r="E232" s="73"/>
      <c r="F232" s="5"/>
      <c r="G232" s="5"/>
      <c r="H232" s="66"/>
      <c r="I232" s="8"/>
      <c r="J232" s="2"/>
      <c r="K232" s="2"/>
      <c r="L232" s="2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" hidden="1" customHeight="1" x14ac:dyDescent="0.3">
      <c r="A233" s="6"/>
      <c r="B233" s="2"/>
      <c r="C233" s="2"/>
      <c r="D233" s="2"/>
      <c r="E233" s="2"/>
      <c r="F233" s="2"/>
      <c r="G233" s="2"/>
      <c r="H233" s="8"/>
      <c r="I233" s="8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34.5" hidden="1" customHeight="1" x14ac:dyDescent="0.3">
      <c r="A234" s="42" t="s">
        <v>0</v>
      </c>
      <c r="B234" s="43" t="s">
        <v>1</v>
      </c>
      <c r="C234" s="15" t="s">
        <v>2</v>
      </c>
      <c r="D234" s="43" t="s">
        <v>3</v>
      </c>
      <c r="E234" s="43" t="s">
        <v>4</v>
      </c>
      <c r="F234" s="11"/>
      <c r="G234" s="11"/>
      <c r="H234" s="67"/>
      <c r="I234" s="8"/>
      <c r="J234" s="2"/>
      <c r="K234" s="2"/>
      <c r="L234" s="2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30" hidden="1" customHeight="1" x14ac:dyDescent="0.3">
      <c r="A235" s="7" t="s">
        <v>5</v>
      </c>
      <c r="B235" s="44" t="s">
        <v>6</v>
      </c>
      <c r="C235" s="12" t="s">
        <v>7</v>
      </c>
      <c r="D235" s="44" t="s">
        <v>8</v>
      </c>
      <c r="E235" s="44" t="s">
        <v>9</v>
      </c>
      <c r="F235" s="13"/>
      <c r="G235" s="13"/>
      <c r="H235" s="68"/>
      <c r="I235" s="8"/>
      <c r="J235" s="2"/>
      <c r="K235" s="2"/>
      <c r="L235" s="2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34.5" hidden="1" customHeight="1" x14ac:dyDescent="0.3">
      <c r="A236" s="14"/>
      <c r="B236" s="15" t="s">
        <v>10</v>
      </c>
      <c r="C236" s="14"/>
      <c r="D236" s="15" t="s">
        <v>11</v>
      </c>
      <c r="E236" s="15" t="s">
        <v>11</v>
      </c>
      <c r="F236" s="4"/>
      <c r="G236" s="4"/>
      <c r="H236" s="65"/>
      <c r="I236" s="8"/>
      <c r="J236" s="2"/>
      <c r="K236" s="2"/>
      <c r="L236" s="2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34.5" hidden="1" customHeight="1" x14ac:dyDescent="0.3">
      <c r="A237" s="7"/>
      <c r="B237" s="12" t="s">
        <v>12</v>
      </c>
      <c r="C237" s="45"/>
      <c r="D237" s="12" t="s">
        <v>13</v>
      </c>
      <c r="E237" s="12" t="s">
        <v>13</v>
      </c>
      <c r="F237" s="13"/>
      <c r="G237" s="13"/>
      <c r="H237" s="68"/>
      <c r="I237" s="8"/>
      <c r="J237" s="2"/>
      <c r="K237" s="2"/>
      <c r="L237" s="2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30" hidden="1" customHeight="1" x14ac:dyDescent="0.3">
      <c r="A238" s="19"/>
      <c r="B238" s="20"/>
      <c r="C238" s="20" t="s">
        <v>14</v>
      </c>
      <c r="D238" s="20" t="s">
        <v>14</v>
      </c>
      <c r="E238" s="20" t="s">
        <v>14</v>
      </c>
      <c r="F238" s="2"/>
      <c r="G238" s="2"/>
      <c r="H238" s="8"/>
      <c r="I238" s="8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hidden="1" customHeight="1" x14ac:dyDescent="0.3">
      <c r="A239" s="46" t="s">
        <v>43</v>
      </c>
      <c r="B239" s="47">
        <f t="shared" ref="B239" si="12">B242+B244+B246+B248+B250+B252+B254+B256+B258+B260+B262+B264+B266+B268+B270+B272</f>
        <v>3491</v>
      </c>
      <c r="C239" s="47">
        <f>D239+E239</f>
        <v>4701141.3440000005</v>
      </c>
      <c r="D239" s="47">
        <f>D242+D244+D246+D248+D250+D252+D254+D256+D258+D260+D262+D264+D266+D268+D270+D272</f>
        <v>2967541.1430000002</v>
      </c>
      <c r="E239" s="47">
        <f>E242+E244+E246+E248+E250+E252+E254+E256+E258+E260+E262+E264+E266+E268+E270+E272</f>
        <v>1733600.2010000001</v>
      </c>
      <c r="F239" s="2"/>
      <c r="G239" s="2"/>
      <c r="H239" s="8"/>
      <c r="I239" s="8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hidden="1" customHeight="1" x14ac:dyDescent="0.3">
      <c r="A240" s="48" t="s">
        <v>44</v>
      </c>
      <c r="B240" s="47"/>
      <c r="C240" s="47"/>
      <c r="D240" s="47"/>
      <c r="E240" s="47"/>
      <c r="F240" s="2"/>
      <c r="G240" s="2"/>
      <c r="H240" s="8"/>
      <c r="I240" s="8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9" hidden="1" customHeight="1" x14ac:dyDescent="0.3">
      <c r="A241" s="28"/>
      <c r="B241" s="29"/>
      <c r="C241" s="29"/>
      <c r="D241" s="29"/>
      <c r="E241" s="29"/>
      <c r="F241" s="27"/>
      <c r="G241" s="27"/>
      <c r="H241" s="69"/>
      <c r="I241" s="8"/>
      <c r="J241" s="2"/>
      <c r="K241" s="2"/>
      <c r="L241" s="2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22.5" hidden="1" customHeight="1" x14ac:dyDescent="0.3">
      <c r="A242" s="31" t="s">
        <v>16</v>
      </c>
      <c r="B242" s="32">
        <v>304</v>
      </c>
      <c r="C242" s="32">
        <f>D242+E242</f>
        <v>167309.76499999998</v>
      </c>
      <c r="D242" s="32">
        <f>131360895/1000</f>
        <v>131360.89499999999</v>
      </c>
      <c r="E242" s="32">
        <f>35948870/1000</f>
        <v>35948.870000000003</v>
      </c>
      <c r="F242" s="30"/>
      <c r="G242" s="30"/>
      <c r="H242" s="70"/>
      <c r="I242" s="8"/>
      <c r="J242" s="2"/>
      <c r="K242" s="2"/>
      <c r="L242" s="2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9" hidden="1" customHeight="1" x14ac:dyDescent="0.3">
      <c r="A243" s="28"/>
      <c r="B243" s="29"/>
      <c r="C243" s="29"/>
      <c r="D243" s="29"/>
      <c r="E243" s="29"/>
      <c r="F243" s="30"/>
      <c r="G243" s="30"/>
      <c r="H243" s="70"/>
      <c r="I243" s="8"/>
      <c r="J243" s="2"/>
      <c r="K243" s="2"/>
      <c r="L243" s="2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22.5" hidden="1" customHeight="1" x14ac:dyDescent="0.3">
      <c r="A244" s="31" t="s">
        <v>17</v>
      </c>
      <c r="B244" s="32">
        <v>64</v>
      </c>
      <c r="C244" s="32">
        <f>D244+E244</f>
        <v>3484.134</v>
      </c>
      <c r="D244" s="32">
        <f>3194177/1000</f>
        <v>3194.1770000000001</v>
      </c>
      <c r="E244" s="32">
        <f>289957/1000</f>
        <v>289.95699999999999</v>
      </c>
      <c r="F244" s="30"/>
      <c r="G244" s="30"/>
      <c r="H244" s="70"/>
      <c r="I244" s="8"/>
      <c r="J244" s="2"/>
      <c r="K244" s="2"/>
      <c r="L244" s="2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9" hidden="1" customHeight="1" x14ac:dyDescent="0.3">
      <c r="A245" s="28"/>
      <c r="B245" s="29"/>
      <c r="C245" s="29"/>
      <c r="D245" s="29"/>
      <c r="E245" s="29"/>
      <c r="F245" s="30"/>
      <c r="G245" s="30"/>
      <c r="H245" s="70"/>
      <c r="I245" s="8"/>
      <c r="J245" s="2"/>
      <c r="K245" s="2"/>
      <c r="L245" s="2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22.5" hidden="1" customHeight="1" x14ac:dyDescent="0.3">
      <c r="A246" s="31" t="s">
        <v>18</v>
      </c>
      <c r="B246" s="32">
        <v>25</v>
      </c>
      <c r="C246" s="32">
        <f>D246+E246</f>
        <v>120.16799999999999</v>
      </c>
      <c r="D246" s="32">
        <f>73606/1000</f>
        <v>73.605999999999995</v>
      </c>
      <c r="E246" s="32">
        <f>46562/1000</f>
        <v>46.561999999999998</v>
      </c>
      <c r="F246" s="30"/>
      <c r="G246" s="30"/>
      <c r="H246" s="70"/>
      <c r="I246" s="69"/>
      <c r="J246" s="27"/>
      <c r="K246" s="27"/>
      <c r="L246" s="27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9" hidden="1" customHeight="1" x14ac:dyDescent="0.3">
      <c r="A247" s="28"/>
      <c r="B247" s="29"/>
      <c r="C247" s="29"/>
      <c r="D247" s="29"/>
      <c r="E247" s="29"/>
      <c r="F247" s="30"/>
      <c r="G247" s="30"/>
      <c r="H247" s="70"/>
      <c r="I247" s="8"/>
      <c r="J247" s="2"/>
      <c r="K247" s="2"/>
      <c r="L247" s="2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22.5" hidden="1" customHeight="1" x14ac:dyDescent="0.3">
      <c r="A248" s="31" t="s">
        <v>19</v>
      </c>
      <c r="B248" s="32">
        <v>46</v>
      </c>
      <c r="C248" s="32">
        <f>D248+E248</f>
        <v>5643.7520000000004</v>
      </c>
      <c r="D248" s="32">
        <f>3294628/1000</f>
        <v>3294.6280000000002</v>
      </c>
      <c r="E248" s="32">
        <f>2349124/1000</f>
        <v>2349.1239999999998</v>
      </c>
      <c r="F248" s="30"/>
      <c r="G248" s="30"/>
      <c r="H248" s="70"/>
      <c r="I248" s="65"/>
      <c r="J248" s="4"/>
      <c r="K248" s="4"/>
      <c r="L248" s="4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9" hidden="1" customHeight="1" x14ac:dyDescent="0.3">
      <c r="A249" s="28"/>
      <c r="B249" s="29"/>
      <c r="C249" s="29"/>
      <c r="D249" s="29"/>
      <c r="E249" s="29"/>
      <c r="F249" s="30"/>
      <c r="G249" s="30"/>
      <c r="H249" s="70"/>
      <c r="I249" s="66"/>
      <c r="J249" s="5"/>
      <c r="K249" s="5"/>
      <c r="L249" s="5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22.5" hidden="1" customHeight="1" x14ac:dyDescent="0.3">
      <c r="A250" s="31" t="s">
        <v>20</v>
      </c>
      <c r="B250" s="32">
        <v>58</v>
      </c>
      <c r="C250" s="32">
        <f>D250+E250</f>
        <v>8980.5730000000003</v>
      </c>
      <c r="D250" s="32">
        <f>5073695/1000</f>
        <v>5073.6949999999997</v>
      </c>
      <c r="E250" s="32">
        <f>3906878/1000</f>
        <v>3906.8780000000002</v>
      </c>
      <c r="F250" s="30"/>
      <c r="G250" s="30"/>
      <c r="H250" s="70"/>
      <c r="I250" s="8"/>
      <c r="J250" s="2"/>
      <c r="K250" s="2"/>
      <c r="L250" s="2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9" hidden="1" customHeight="1" x14ac:dyDescent="0.3">
      <c r="A251" s="28"/>
      <c r="B251" s="29"/>
      <c r="C251" s="29"/>
      <c r="D251" s="29"/>
      <c r="E251" s="29"/>
      <c r="F251" s="30"/>
      <c r="G251" s="30"/>
      <c r="H251" s="70"/>
      <c r="I251" s="67"/>
      <c r="J251" s="11"/>
      <c r="K251" s="11"/>
      <c r="L251" s="11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22.5" hidden="1" customHeight="1" x14ac:dyDescent="0.3">
      <c r="A252" s="31" t="s">
        <v>21</v>
      </c>
      <c r="B252" s="32">
        <v>84</v>
      </c>
      <c r="C252" s="32">
        <f>D252+E252</f>
        <v>3694.6979999999999</v>
      </c>
      <c r="D252" s="32">
        <f>517448/1000</f>
        <v>517.44799999999998</v>
      </c>
      <c r="E252" s="32">
        <f>3177250/1000</f>
        <v>3177.25</v>
      </c>
      <c r="F252" s="30"/>
      <c r="G252" s="30"/>
      <c r="H252" s="70"/>
      <c r="I252" s="68"/>
      <c r="J252" s="13"/>
      <c r="K252" s="13"/>
      <c r="L252" s="13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9" hidden="1" customHeight="1" x14ac:dyDescent="0.3">
      <c r="A253" s="28"/>
      <c r="B253" s="29"/>
      <c r="C253" s="29"/>
      <c r="D253" s="29"/>
      <c r="E253" s="29"/>
      <c r="F253" s="30"/>
      <c r="G253" s="30"/>
      <c r="H253" s="70"/>
      <c r="I253" s="65"/>
      <c r="J253" s="4"/>
      <c r="K253" s="4"/>
      <c r="L253" s="4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22.5" hidden="1" customHeight="1" x14ac:dyDescent="0.3">
      <c r="A254" s="31" t="s">
        <v>22</v>
      </c>
      <c r="B254" s="32">
        <v>210</v>
      </c>
      <c r="C254" s="32">
        <f>D254+E254</f>
        <v>130985.43</v>
      </c>
      <c r="D254" s="32">
        <f>64424615/1000</f>
        <v>64424.614999999998</v>
      </c>
      <c r="E254" s="32">
        <f>66560815/1000</f>
        <v>66560.815000000002</v>
      </c>
      <c r="F254" s="30"/>
      <c r="G254" s="30"/>
      <c r="H254" s="70"/>
      <c r="I254" s="68"/>
      <c r="J254" s="13"/>
      <c r="K254" s="13"/>
      <c r="L254" s="13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9" hidden="1" customHeight="1" x14ac:dyDescent="0.3">
      <c r="A255" s="28"/>
      <c r="B255" s="29"/>
      <c r="C255" s="29"/>
      <c r="D255" s="29"/>
      <c r="E255" s="29"/>
      <c r="F255" s="30"/>
      <c r="G255" s="30"/>
      <c r="H255" s="70"/>
      <c r="I255" s="8"/>
      <c r="J255" s="2"/>
      <c r="K255" s="2"/>
      <c r="L255" s="2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22.5" hidden="1" customHeight="1" x14ac:dyDescent="0.3">
      <c r="A256" s="31" t="s">
        <v>23</v>
      </c>
      <c r="B256" s="32">
        <v>95</v>
      </c>
      <c r="C256" s="32">
        <f>D256+E256</f>
        <v>3468.7170000000001</v>
      </c>
      <c r="D256" s="32">
        <f>2689983/1000</f>
        <v>2689.9830000000002</v>
      </c>
      <c r="E256" s="32">
        <f>778734/1000</f>
        <v>778.73400000000004</v>
      </c>
      <c r="F256" s="30"/>
      <c r="G256" s="30"/>
      <c r="H256" s="70"/>
      <c r="I256" s="8"/>
      <c r="J256" s="2"/>
      <c r="K256" s="2"/>
      <c r="L256" s="2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9" hidden="1" customHeight="1" x14ac:dyDescent="0.3">
      <c r="A257" s="28"/>
      <c r="B257" s="29"/>
      <c r="C257" s="29"/>
      <c r="D257" s="29"/>
      <c r="E257" s="29"/>
      <c r="F257" s="30"/>
      <c r="G257" s="30"/>
      <c r="H257" s="70"/>
      <c r="I257" s="8"/>
      <c r="J257" s="2"/>
      <c r="K257" s="2"/>
      <c r="L257" s="2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22.5" hidden="1" customHeight="1" x14ac:dyDescent="0.3">
      <c r="A258" s="31" t="s">
        <v>24</v>
      </c>
      <c r="B258" s="32">
        <v>6</v>
      </c>
      <c r="C258" s="32">
        <f>D258+E258</f>
        <v>27.61</v>
      </c>
      <c r="D258" s="32">
        <f>14106/1000</f>
        <v>14.106</v>
      </c>
      <c r="E258" s="32">
        <f>13504/1000</f>
        <v>13.504</v>
      </c>
      <c r="F258" s="30"/>
      <c r="G258" s="30"/>
      <c r="H258" s="70"/>
      <c r="I258" s="69"/>
      <c r="J258" s="27"/>
      <c r="K258" s="27"/>
      <c r="L258" s="27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9" hidden="1" customHeight="1" x14ac:dyDescent="0.3">
      <c r="A259" s="28"/>
      <c r="B259" s="29"/>
      <c r="C259" s="29"/>
      <c r="D259" s="29"/>
      <c r="E259" s="29"/>
      <c r="F259" s="30"/>
      <c r="G259" s="30"/>
      <c r="H259" s="70"/>
      <c r="I259" s="7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22.5" hidden="1" customHeight="1" x14ac:dyDescent="0.3">
      <c r="A260" s="31" t="s">
        <v>25</v>
      </c>
      <c r="B260" s="32">
        <v>1701</v>
      </c>
      <c r="C260" s="32">
        <f>D260+E260</f>
        <v>2044269.9360000002</v>
      </c>
      <c r="D260" s="32">
        <f>1340069627/1000</f>
        <v>1340069.6270000001</v>
      </c>
      <c r="E260" s="32">
        <f>704200309/1000</f>
        <v>704200.30900000001</v>
      </c>
      <c r="F260" s="30"/>
      <c r="G260" s="30"/>
      <c r="H260" s="70"/>
      <c r="I260" s="7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9" hidden="1" customHeight="1" x14ac:dyDescent="0.3">
      <c r="A261" s="28"/>
      <c r="B261" s="29"/>
      <c r="C261" s="29"/>
      <c r="D261" s="29"/>
      <c r="E261" s="29"/>
      <c r="F261" s="30"/>
      <c r="G261" s="30"/>
      <c r="H261" s="70"/>
      <c r="I261" s="7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22.5" hidden="1" customHeight="1" x14ac:dyDescent="0.3">
      <c r="A262" s="31" t="s">
        <v>26</v>
      </c>
      <c r="B262" s="32">
        <v>27</v>
      </c>
      <c r="C262" s="32">
        <f>D262+E262</f>
        <v>181.55800000000002</v>
      </c>
      <c r="D262" s="32">
        <f>139241/1000</f>
        <v>139.24100000000001</v>
      </c>
      <c r="E262" s="32">
        <f>42317/1000</f>
        <v>42.317</v>
      </c>
      <c r="F262" s="30"/>
      <c r="G262" s="30"/>
      <c r="H262" s="70"/>
      <c r="I262" s="7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9" hidden="1" customHeight="1" x14ac:dyDescent="0.3">
      <c r="A263" s="28"/>
      <c r="B263" s="29"/>
      <c r="C263" s="29"/>
      <c r="D263" s="29"/>
      <c r="E263" s="29"/>
      <c r="F263" s="30"/>
      <c r="G263" s="30"/>
      <c r="H263" s="70"/>
      <c r="I263" s="7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22.5" hidden="1" customHeight="1" x14ac:dyDescent="0.3">
      <c r="A264" s="31" t="s">
        <v>27</v>
      </c>
      <c r="B264" s="32">
        <v>98</v>
      </c>
      <c r="C264" s="32">
        <f>D264+E264</f>
        <v>13729.298000000001</v>
      </c>
      <c r="D264" s="32">
        <f>9447457/1000</f>
        <v>9447.4570000000003</v>
      </c>
      <c r="E264" s="32">
        <f>4281841/1000</f>
        <v>4281.8410000000003</v>
      </c>
      <c r="F264" s="30"/>
      <c r="G264" s="30"/>
      <c r="H264" s="70"/>
      <c r="I264" s="7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9" hidden="1" customHeight="1" x14ac:dyDescent="0.3">
      <c r="A265" s="28"/>
      <c r="B265" s="29"/>
      <c r="C265" s="29"/>
      <c r="D265" s="29"/>
      <c r="E265" s="29"/>
      <c r="F265" s="30"/>
      <c r="G265" s="30"/>
      <c r="H265" s="70"/>
      <c r="I265" s="7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22.5" hidden="1" customHeight="1" x14ac:dyDescent="0.3">
      <c r="A266" s="31" t="s">
        <v>28</v>
      </c>
      <c r="B266" s="32">
        <v>93</v>
      </c>
      <c r="C266" s="32">
        <f>D266+E266</f>
        <v>31685.322</v>
      </c>
      <c r="D266" s="32">
        <f>8188316/1000</f>
        <v>8188.3159999999998</v>
      </c>
      <c r="E266" s="32">
        <f>23497006/1000</f>
        <v>23497.006000000001</v>
      </c>
      <c r="F266" s="30"/>
      <c r="G266" s="30"/>
      <c r="H266" s="70"/>
      <c r="I266" s="7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9" hidden="1" customHeight="1" x14ac:dyDescent="0.3">
      <c r="A267" s="28"/>
      <c r="B267" s="29"/>
      <c r="C267" s="29"/>
      <c r="D267" s="29"/>
      <c r="E267" s="29"/>
      <c r="F267" s="30"/>
      <c r="G267" s="30"/>
      <c r="H267" s="70"/>
      <c r="I267" s="7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22.5" hidden="1" customHeight="1" x14ac:dyDescent="0.3">
      <c r="A268" s="31" t="s">
        <v>29</v>
      </c>
      <c r="B268" s="32">
        <v>666</v>
      </c>
      <c r="C268" s="32">
        <f>D268+E268</f>
        <v>2286358.196</v>
      </c>
      <c r="D268" s="32">
        <f>1398926758/1000</f>
        <v>1398926.7579999999</v>
      </c>
      <c r="E268" s="32">
        <f>887431438/1000</f>
        <v>887431.43799999997</v>
      </c>
      <c r="F268" s="30"/>
      <c r="G268" s="30"/>
      <c r="H268" s="70"/>
      <c r="I268" s="7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9" hidden="1" customHeight="1" x14ac:dyDescent="0.3">
      <c r="A269" s="28"/>
      <c r="B269" s="29"/>
      <c r="C269" s="29"/>
      <c r="D269" s="29"/>
      <c r="E269" s="29"/>
      <c r="F269" s="30"/>
      <c r="G269" s="30"/>
      <c r="H269" s="70"/>
      <c r="I269" s="7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22.5" hidden="1" customHeight="1" x14ac:dyDescent="0.3">
      <c r="A270" s="31" t="s">
        <v>30</v>
      </c>
      <c r="B270" s="32">
        <v>11</v>
      </c>
      <c r="C270" s="32">
        <f>D270+E270</f>
        <v>1070.8139999999999</v>
      </c>
      <c r="D270" s="32">
        <f>75490/1000</f>
        <v>75.489999999999995</v>
      </c>
      <c r="E270" s="32">
        <f>995324/1000</f>
        <v>995.32399999999996</v>
      </c>
      <c r="F270" s="30"/>
      <c r="G270" s="30"/>
      <c r="H270" s="70"/>
      <c r="I270" s="7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9" hidden="1" customHeight="1" x14ac:dyDescent="0.3">
      <c r="A271" s="28"/>
      <c r="B271" s="29"/>
      <c r="C271" s="29"/>
      <c r="D271" s="29"/>
      <c r="E271" s="29"/>
      <c r="F271" s="30"/>
      <c r="G271" s="30"/>
      <c r="H271" s="70"/>
      <c r="I271" s="7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22.5" hidden="1" customHeight="1" x14ac:dyDescent="0.3">
      <c r="A272" s="31" t="s">
        <v>31</v>
      </c>
      <c r="B272" s="39">
        <v>3</v>
      </c>
      <c r="C272" s="32">
        <f>D272+E272</f>
        <v>131.37299999999999</v>
      </c>
      <c r="D272" s="39">
        <f>51101/1000</f>
        <v>51.100999999999999</v>
      </c>
      <c r="E272" s="39">
        <f>80272/1000</f>
        <v>80.272000000000006</v>
      </c>
      <c r="F272" s="30"/>
      <c r="G272" s="30"/>
      <c r="H272" s="70"/>
      <c r="I272" s="7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9" hidden="1" customHeight="1" x14ac:dyDescent="0.3">
      <c r="A273" s="28"/>
      <c r="B273" s="49"/>
      <c r="C273" s="49"/>
      <c r="D273" s="49"/>
      <c r="E273" s="49"/>
      <c r="F273" s="30"/>
      <c r="G273" s="30"/>
      <c r="H273" s="70"/>
      <c r="I273" s="7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9" hidden="1" customHeight="1" x14ac:dyDescent="0.3">
      <c r="A274" s="25"/>
      <c r="B274" s="40"/>
      <c r="C274" s="40"/>
      <c r="D274" s="40"/>
      <c r="E274" s="40"/>
      <c r="F274" s="27"/>
      <c r="G274" s="27"/>
      <c r="H274" s="69"/>
      <c r="I274" s="70"/>
      <c r="J274" s="30"/>
      <c r="K274" s="30"/>
      <c r="L274" s="30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9" hidden="1" customHeight="1" x14ac:dyDescent="0.3">
      <c r="A275" s="4"/>
      <c r="B275" s="54"/>
      <c r="C275" s="55"/>
      <c r="D275" s="54"/>
      <c r="E275" s="55"/>
      <c r="F275" s="2"/>
      <c r="G275" s="2"/>
      <c r="H275" s="8"/>
      <c r="I275" s="70"/>
      <c r="J275" s="30"/>
      <c r="K275" s="30"/>
      <c r="L275" s="30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hidden="1" customHeight="1" x14ac:dyDescent="0.3">
      <c r="A276" s="2"/>
      <c r="B276" s="2"/>
      <c r="C276" s="2"/>
      <c r="D276" s="2"/>
      <c r="E276" s="2"/>
      <c r="F276" s="2"/>
      <c r="G276" s="2"/>
      <c r="H276" s="8"/>
      <c r="I276" s="70"/>
      <c r="J276" s="30"/>
      <c r="K276" s="30"/>
      <c r="L276" s="30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hidden="1" customHeight="1" x14ac:dyDescent="0.3">
      <c r="A277" s="2"/>
      <c r="B277" s="2"/>
      <c r="C277" s="2"/>
      <c r="D277" s="2"/>
      <c r="E277" s="2"/>
      <c r="F277" s="2"/>
      <c r="G277" s="2"/>
      <c r="H277" s="8"/>
      <c r="I277" s="70"/>
      <c r="J277" s="30"/>
      <c r="K277" s="30"/>
      <c r="L277" s="30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hidden="1" customHeight="1" x14ac:dyDescent="0.3">
      <c r="A278" s="2"/>
      <c r="B278" s="2"/>
      <c r="C278" s="2"/>
      <c r="D278" s="2"/>
      <c r="E278" s="2"/>
      <c r="F278" s="2"/>
      <c r="G278" s="2"/>
      <c r="H278" s="8"/>
      <c r="I278" s="70"/>
      <c r="J278" s="30"/>
      <c r="K278" s="30"/>
      <c r="L278" s="30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hidden="1" customHeight="1" x14ac:dyDescent="0.3">
      <c r="A279" s="2"/>
      <c r="B279" s="37">
        <v>104</v>
      </c>
      <c r="C279" s="53">
        <v>96851.716779145194</v>
      </c>
      <c r="D279" s="53">
        <v>20367.528273698947</v>
      </c>
      <c r="E279" s="53">
        <v>76484.188505446233</v>
      </c>
      <c r="F279" s="2"/>
      <c r="G279" s="2"/>
      <c r="H279" s="8"/>
      <c r="I279" s="70"/>
      <c r="J279" s="30"/>
      <c r="K279" s="30"/>
      <c r="L279" s="30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hidden="1" customHeight="1" x14ac:dyDescent="0.3">
      <c r="A280" s="2"/>
      <c r="B280" s="56"/>
      <c r="C280" s="53"/>
      <c r="D280" s="53"/>
      <c r="E280" s="53"/>
      <c r="F280" s="2"/>
      <c r="G280" s="2"/>
      <c r="H280" s="8"/>
      <c r="I280" s="70"/>
      <c r="J280" s="30"/>
      <c r="K280" s="30"/>
      <c r="L280" s="30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hidden="1" customHeight="1" x14ac:dyDescent="0.3">
      <c r="A281" s="2"/>
      <c r="B281" s="37">
        <v>4</v>
      </c>
      <c r="C281" s="53">
        <v>22934.124051137704</v>
      </c>
      <c r="D281" s="53">
        <v>12169.051658589979</v>
      </c>
      <c r="E281" s="53">
        <v>10765.072392547729</v>
      </c>
      <c r="F281" s="2"/>
      <c r="G281" s="2"/>
      <c r="H281" s="8"/>
      <c r="I281" s="70"/>
      <c r="J281" s="30"/>
      <c r="K281" s="30"/>
      <c r="L281" s="30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hidden="1" customHeight="1" x14ac:dyDescent="0.3">
      <c r="A282" s="2"/>
      <c r="B282" s="56"/>
      <c r="C282" s="53"/>
      <c r="D282" s="53"/>
      <c r="E282" s="53"/>
      <c r="F282" s="2"/>
      <c r="G282" s="2"/>
      <c r="H282" s="8"/>
      <c r="I282" s="70"/>
      <c r="J282" s="30"/>
      <c r="K282" s="30"/>
      <c r="L282" s="30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hidden="1" customHeight="1" x14ac:dyDescent="0.3">
      <c r="A283" s="2"/>
      <c r="B283" s="57">
        <v>4</v>
      </c>
      <c r="C283" s="53">
        <v>250.98147018272604</v>
      </c>
      <c r="D283" s="53">
        <v>250.98147018272601</v>
      </c>
      <c r="E283" s="53">
        <v>0</v>
      </c>
      <c r="F283" s="2"/>
      <c r="G283" s="2"/>
      <c r="H283" s="8"/>
      <c r="I283" s="70"/>
      <c r="J283" s="30"/>
      <c r="K283" s="30"/>
      <c r="L283" s="30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hidden="1" customHeight="1" x14ac:dyDescent="0.3">
      <c r="A284" s="2"/>
      <c r="B284" s="58"/>
      <c r="C284" s="59"/>
      <c r="D284" s="59"/>
      <c r="E284" s="59"/>
      <c r="F284" s="2"/>
      <c r="G284" s="2"/>
      <c r="H284" s="8"/>
      <c r="I284" s="70"/>
      <c r="J284" s="30"/>
      <c r="K284" s="30"/>
      <c r="L284" s="30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hidden="1" customHeight="1" x14ac:dyDescent="0.3">
      <c r="A285" s="2"/>
      <c r="B285" s="58">
        <v>1</v>
      </c>
      <c r="C285" s="59">
        <v>988.29848850758515</v>
      </c>
      <c r="D285" s="59">
        <v>0</v>
      </c>
      <c r="E285" s="59">
        <v>988.29848850758503</v>
      </c>
      <c r="F285" s="2"/>
      <c r="G285" s="2"/>
      <c r="H285" s="8"/>
      <c r="I285" s="70"/>
      <c r="J285" s="30"/>
      <c r="K285" s="30"/>
      <c r="L285" s="30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hidden="1" customHeight="1" x14ac:dyDescent="0.3">
      <c r="A286" s="2"/>
      <c r="B286" s="2"/>
      <c r="C286" s="2"/>
      <c r="D286" s="2"/>
      <c r="E286" s="2"/>
      <c r="F286" s="2"/>
      <c r="G286" s="2"/>
      <c r="H286" s="61"/>
      <c r="I286" s="70"/>
      <c r="J286" s="30"/>
      <c r="K286" s="30"/>
      <c r="L286" s="30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hidden="1" customHeight="1" x14ac:dyDescent="0.3">
      <c r="A287" s="2"/>
      <c r="B287" s="2"/>
      <c r="C287" s="2"/>
      <c r="D287" s="2"/>
      <c r="E287" s="2"/>
      <c r="F287" s="2"/>
      <c r="G287" s="2"/>
      <c r="H287" s="8"/>
      <c r="I287" s="70"/>
      <c r="J287" s="30"/>
      <c r="K287" s="30"/>
      <c r="L287" s="30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hidden="1" customHeight="1" x14ac:dyDescent="0.3">
      <c r="A288" s="2"/>
      <c r="B288" s="2"/>
      <c r="C288" s="2"/>
      <c r="D288" s="2"/>
      <c r="E288" s="2"/>
      <c r="F288" s="2"/>
      <c r="G288" s="2"/>
      <c r="H288" s="8"/>
      <c r="I288" s="70"/>
      <c r="J288" s="30"/>
      <c r="K288" s="30"/>
      <c r="L288" s="30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hidden="1" customHeight="1" x14ac:dyDescent="0.3">
      <c r="A289" s="2"/>
      <c r="B289" s="2"/>
      <c r="C289" s="2"/>
      <c r="D289" s="2"/>
      <c r="E289" s="2"/>
      <c r="F289" s="2"/>
      <c r="G289" s="2"/>
      <c r="H289" s="8"/>
      <c r="I289" s="70"/>
      <c r="J289" s="30"/>
      <c r="K289" s="30"/>
      <c r="L289" s="30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3">
      <c r="A290" s="2"/>
      <c r="B290" s="8"/>
      <c r="C290" s="8"/>
      <c r="D290" s="2"/>
      <c r="E290" s="2"/>
      <c r="F290" s="2"/>
      <c r="G290" s="2"/>
      <c r="H290" s="2"/>
      <c r="I290" s="70"/>
      <c r="J290" s="30"/>
      <c r="K290" s="30"/>
      <c r="L290" s="30"/>
      <c r="M290" s="2"/>
      <c r="N290" s="2"/>
      <c r="O290" s="2"/>
      <c r="P290" s="2"/>
      <c r="Q290" s="2"/>
      <c r="R290" s="2"/>
      <c r="S290" s="2"/>
      <c r="T290" s="2"/>
    </row>
    <row r="291" spans="1:26" ht="15.75" customHeight="1" x14ac:dyDescent="0.3">
      <c r="A291" s="2"/>
      <c r="B291" s="8"/>
      <c r="C291" s="8"/>
      <c r="D291" s="2"/>
      <c r="E291" s="2"/>
      <c r="F291" s="2"/>
      <c r="G291" s="2"/>
      <c r="H291" s="2"/>
      <c r="I291" s="69"/>
      <c r="J291" s="27"/>
      <c r="K291" s="27"/>
      <c r="L291" s="27"/>
      <c r="M291" s="2"/>
      <c r="N291" s="2"/>
      <c r="O291" s="2"/>
      <c r="P291" s="2"/>
      <c r="Q291" s="2"/>
      <c r="R291" s="2"/>
      <c r="S291" s="2"/>
      <c r="T291" s="2"/>
    </row>
    <row r="292" spans="1:26" ht="15.75" customHeight="1" x14ac:dyDescent="0.3">
      <c r="A292" s="2"/>
      <c r="B292" s="8"/>
      <c r="C292" s="8"/>
      <c r="D292" s="2"/>
      <c r="E292" s="2"/>
      <c r="F292" s="2"/>
      <c r="G292" s="2"/>
      <c r="H292" s="2"/>
      <c r="I292" s="8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1:26" ht="15.75" customHeight="1" x14ac:dyDescent="0.3">
      <c r="A293" s="2"/>
      <c r="B293" s="8"/>
      <c r="C293" s="8"/>
      <c r="D293" s="2"/>
      <c r="E293" s="2"/>
      <c r="F293" s="2"/>
      <c r="G293" s="2"/>
      <c r="H293" s="2"/>
      <c r="I293" s="8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1:26" ht="15.75" customHeight="1" x14ac:dyDescent="0.3">
      <c r="A294" s="2"/>
      <c r="B294" s="8"/>
      <c r="C294" s="8"/>
      <c r="D294" s="2"/>
      <c r="E294" s="2"/>
      <c r="F294" s="2"/>
      <c r="G294" s="2"/>
      <c r="H294" s="2"/>
      <c r="I294" s="8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1:26" ht="15.75" customHeight="1" x14ac:dyDescent="0.3">
      <c r="A295" s="2"/>
      <c r="B295" s="8"/>
      <c r="C295" s="8"/>
      <c r="D295" s="2"/>
      <c r="E295" s="2"/>
      <c r="F295" s="2"/>
      <c r="G295" s="2"/>
      <c r="H295" s="2"/>
      <c r="I295" s="8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1:26" ht="15.75" customHeight="1" x14ac:dyDescent="0.3">
      <c r="A296" s="2"/>
      <c r="B296" s="8"/>
      <c r="C296" s="8"/>
      <c r="D296" s="2"/>
      <c r="E296" s="2"/>
      <c r="F296" s="2"/>
      <c r="G296" s="2"/>
      <c r="H296" s="2"/>
      <c r="I296" s="8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1:26" ht="15.75" customHeight="1" x14ac:dyDescent="0.3">
      <c r="A297" s="2"/>
      <c r="B297" s="8"/>
      <c r="C297" s="8"/>
      <c r="D297" s="2"/>
      <c r="E297" s="2"/>
      <c r="F297" s="2"/>
      <c r="G297" s="2"/>
      <c r="H297" s="2"/>
      <c r="I297" s="8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1:26" ht="15.75" customHeight="1" x14ac:dyDescent="0.3">
      <c r="A298" s="2"/>
      <c r="B298" s="8"/>
      <c r="C298" s="8"/>
      <c r="D298" s="2"/>
      <c r="E298" s="2"/>
      <c r="F298" s="2"/>
      <c r="G298" s="2"/>
      <c r="H298" s="2"/>
      <c r="I298" s="8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1:26" ht="15.75" customHeight="1" x14ac:dyDescent="0.3">
      <c r="A299" s="2"/>
      <c r="B299" s="8"/>
      <c r="C299" s="8"/>
      <c r="D299" s="2"/>
      <c r="E299" s="2"/>
      <c r="F299" s="2"/>
      <c r="G299" s="2"/>
      <c r="H299" s="2"/>
      <c r="I299" s="8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1:26" ht="15.75" customHeight="1" x14ac:dyDescent="0.3">
      <c r="A300" s="2"/>
      <c r="B300" s="8"/>
      <c r="C300" s="8"/>
      <c r="D300" s="2"/>
      <c r="E300" s="2"/>
      <c r="F300" s="2"/>
      <c r="G300" s="2"/>
      <c r="H300" s="2"/>
      <c r="I300" s="8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1:26" ht="15.75" customHeight="1" x14ac:dyDescent="0.3">
      <c r="A301" s="2"/>
      <c r="B301" s="8"/>
      <c r="C301" s="8"/>
      <c r="D301" s="2"/>
      <c r="E301" s="2"/>
      <c r="F301" s="2"/>
      <c r="G301" s="2"/>
      <c r="H301" s="2"/>
      <c r="I301" s="8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1:26" ht="15.75" customHeight="1" x14ac:dyDescent="0.3">
      <c r="A302" s="2"/>
      <c r="B302" s="8"/>
      <c r="C302" s="8"/>
      <c r="D302" s="2"/>
      <c r="E302" s="2"/>
      <c r="F302" s="2"/>
      <c r="G302" s="2"/>
      <c r="H302" s="2"/>
      <c r="I302" s="8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1:26" ht="15.75" customHeight="1" x14ac:dyDescent="0.3">
      <c r="A303" s="2"/>
      <c r="B303" s="8"/>
      <c r="C303" s="8"/>
      <c r="D303" s="2"/>
      <c r="E303" s="2"/>
      <c r="F303" s="2"/>
      <c r="G303" s="2"/>
      <c r="H303" s="2"/>
      <c r="I303" s="62"/>
      <c r="J303" s="64"/>
      <c r="K303" s="64"/>
      <c r="L303" s="64"/>
      <c r="M303" s="2"/>
      <c r="N303" s="2"/>
      <c r="O303" s="2"/>
      <c r="P303" s="2"/>
      <c r="Q303" s="2"/>
      <c r="R303" s="2"/>
      <c r="S303" s="2"/>
      <c r="T303" s="2"/>
    </row>
    <row r="304" spans="1:26" ht="15.75" customHeight="1" x14ac:dyDescent="0.3">
      <c r="A304" s="2"/>
      <c r="B304" s="8"/>
      <c r="C304" s="8"/>
      <c r="D304" s="2"/>
      <c r="E304" s="2"/>
      <c r="F304" s="2"/>
      <c r="G304" s="2"/>
      <c r="H304" s="2"/>
      <c r="I304" s="8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1:26" ht="15.75" customHeight="1" x14ac:dyDescent="0.3">
      <c r="A305" s="2"/>
      <c r="B305" s="8"/>
      <c r="C305" s="8"/>
      <c r="D305" s="2"/>
      <c r="E305" s="2"/>
      <c r="F305" s="2"/>
      <c r="G305" s="2"/>
      <c r="H305" s="2"/>
      <c r="I305" s="8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1:26" ht="15.75" customHeight="1" x14ac:dyDescent="0.3">
      <c r="A306" s="2"/>
      <c r="B306" s="8"/>
      <c r="C306" s="8"/>
      <c r="D306" s="2"/>
      <c r="E306" s="2"/>
      <c r="F306" s="2"/>
      <c r="G306" s="2"/>
      <c r="H306" s="2"/>
      <c r="I306" s="8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1:26" ht="15.75" customHeight="1" x14ac:dyDescent="0.3">
      <c r="A307" s="2"/>
      <c r="B307" s="8"/>
      <c r="C307" s="8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1:26" ht="15.75" customHeight="1" x14ac:dyDescent="0.3">
      <c r="A308" s="2"/>
      <c r="B308" s="8"/>
      <c r="C308" s="8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1:26" ht="15.75" customHeight="1" x14ac:dyDescent="0.3">
      <c r="A309" s="2"/>
      <c r="B309" s="8"/>
      <c r="C309" s="8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1:26" ht="15.75" customHeight="1" x14ac:dyDescent="0.3">
      <c r="A310" s="2"/>
      <c r="B310" s="8"/>
      <c r="C310" s="8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1:26" ht="15.75" customHeight="1" x14ac:dyDescent="0.3">
      <c r="A311" s="2"/>
      <c r="B311" s="8"/>
      <c r="C311" s="8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1:26" ht="15.75" customHeight="1" x14ac:dyDescent="0.3">
      <c r="A312" s="2"/>
      <c r="B312" s="2"/>
      <c r="C312" s="2"/>
      <c r="D312" s="2"/>
      <c r="E312" s="2"/>
      <c r="F312" s="2"/>
      <c r="G312" s="2"/>
      <c r="H312" s="8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3">
      <c r="A313" s="2"/>
      <c r="B313" s="2"/>
      <c r="C313" s="2"/>
      <c r="D313" s="2"/>
      <c r="E313" s="2"/>
      <c r="F313" s="2"/>
      <c r="G313" s="2"/>
      <c r="H313" s="8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3">
      <c r="A314" s="2"/>
      <c r="B314" s="2"/>
      <c r="C314" s="2"/>
      <c r="D314" s="2"/>
      <c r="E314" s="2"/>
      <c r="F314" s="2"/>
      <c r="G314" s="2"/>
      <c r="H314" s="8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3">
      <c r="A315" s="2"/>
      <c r="B315" s="2"/>
      <c r="C315" s="2"/>
      <c r="D315" s="2"/>
      <c r="E315" s="2"/>
      <c r="F315" s="2"/>
      <c r="G315" s="2"/>
      <c r="H315" s="8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3">
      <c r="A316" s="2"/>
      <c r="B316" s="2"/>
      <c r="C316" s="2"/>
      <c r="D316" s="2"/>
      <c r="E316" s="2"/>
      <c r="F316" s="2"/>
      <c r="G316" s="2"/>
      <c r="H316" s="8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3">
      <c r="A317" s="2"/>
      <c r="B317" s="2"/>
      <c r="C317" s="2"/>
      <c r="D317" s="2"/>
      <c r="E317" s="2"/>
      <c r="F317" s="2"/>
      <c r="G317" s="2"/>
      <c r="H317" s="8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3">
      <c r="A318" s="2"/>
      <c r="B318" s="2"/>
      <c r="C318" s="2"/>
      <c r="D318" s="2"/>
      <c r="E318" s="2"/>
      <c r="F318" s="2"/>
      <c r="G318" s="2"/>
      <c r="H318" s="8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3">
      <c r="A319" s="2"/>
      <c r="B319" s="2"/>
      <c r="C319" s="2"/>
      <c r="D319" s="2"/>
      <c r="E319" s="2"/>
      <c r="F319" s="2"/>
      <c r="G319" s="2"/>
      <c r="H319" s="8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3">
      <c r="A320" s="2"/>
      <c r="B320" s="2"/>
      <c r="C320" s="2"/>
      <c r="D320" s="2"/>
      <c r="E320" s="2"/>
      <c r="F320" s="2"/>
      <c r="G320" s="2"/>
      <c r="H320" s="8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3">
      <c r="A321" s="2"/>
      <c r="B321" s="2"/>
      <c r="C321" s="2"/>
      <c r="D321" s="2"/>
      <c r="E321" s="2"/>
      <c r="F321" s="2"/>
      <c r="G321" s="2"/>
      <c r="H321" s="8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3">
      <c r="A322" s="2"/>
      <c r="B322" s="2"/>
      <c r="C322" s="2"/>
      <c r="D322" s="2"/>
      <c r="E322" s="2"/>
      <c r="F322" s="2"/>
      <c r="G322" s="2"/>
      <c r="H322" s="8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3">
      <c r="A323" s="2"/>
      <c r="B323" s="2"/>
      <c r="C323" s="2"/>
      <c r="D323" s="2"/>
      <c r="E323" s="2"/>
      <c r="F323" s="2"/>
      <c r="G323" s="2"/>
      <c r="H323" s="8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3">
      <c r="A324" s="2"/>
      <c r="B324" s="2"/>
      <c r="C324" s="2"/>
      <c r="D324" s="2"/>
      <c r="E324" s="2"/>
      <c r="F324" s="2"/>
      <c r="G324" s="2"/>
      <c r="H324" s="8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3">
      <c r="A325" s="2"/>
      <c r="B325" s="2"/>
      <c r="C325" s="2"/>
      <c r="D325" s="2"/>
      <c r="E325" s="2"/>
      <c r="F325" s="2"/>
      <c r="G325" s="2"/>
      <c r="H325" s="8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3">
      <c r="A326" s="2"/>
      <c r="B326" s="2"/>
      <c r="C326" s="2"/>
      <c r="D326" s="2"/>
      <c r="E326" s="2"/>
      <c r="F326" s="2"/>
      <c r="G326" s="2"/>
      <c r="H326" s="8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3">
      <c r="A327" s="2"/>
      <c r="B327" s="2"/>
      <c r="C327" s="2"/>
      <c r="D327" s="2"/>
      <c r="E327" s="2"/>
      <c r="F327" s="2"/>
      <c r="G327" s="2"/>
      <c r="H327" s="8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3">
      <c r="A328" s="2"/>
      <c r="B328" s="2"/>
      <c r="C328" s="2"/>
      <c r="D328" s="2"/>
      <c r="E328" s="2"/>
      <c r="F328" s="2"/>
      <c r="G328" s="2"/>
      <c r="H328" s="8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3">
      <c r="A329" s="2"/>
      <c r="B329" s="2"/>
      <c r="C329" s="2"/>
      <c r="D329" s="2"/>
      <c r="E329" s="2"/>
      <c r="F329" s="2"/>
      <c r="G329" s="2"/>
      <c r="H329" s="8"/>
      <c r="I329" s="8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3">
      <c r="A330" s="2"/>
      <c r="B330" s="2"/>
      <c r="C330" s="2"/>
      <c r="D330" s="2"/>
      <c r="E330" s="2"/>
      <c r="F330" s="2"/>
      <c r="G330" s="2"/>
      <c r="H330" s="8"/>
      <c r="I330" s="8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3">
      <c r="A331" s="2"/>
      <c r="B331" s="2"/>
      <c r="C331" s="2"/>
      <c r="D331" s="2"/>
      <c r="E331" s="2"/>
      <c r="F331" s="2"/>
      <c r="G331" s="2"/>
      <c r="H331" s="8"/>
      <c r="I331" s="8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3">
      <c r="A332" s="2"/>
      <c r="B332" s="2"/>
      <c r="C332" s="2"/>
      <c r="D332" s="2"/>
      <c r="E332" s="2"/>
      <c r="F332" s="2"/>
      <c r="G332" s="2"/>
      <c r="H332" s="8"/>
      <c r="I332" s="8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3">
      <c r="A333" s="2"/>
      <c r="B333" s="2"/>
      <c r="C333" s="2"/>
      <c r="D333" s="2"/>
      <c r="E333" s="2"/>
      <c r="F333" s="2"/>
      <c r="G333" s="2"/>
      <c r="H333" s="8"/>
      <c r="I333" s="8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3">
      <c r="A334" s="2"/>
      <c r="B334" s="2"/>
      <c r="C334" s="2"/>
      <c r="D334" s="2"/>
      <c r="E334" s="2"/>
      <c r="F334" s="2"/>
      <c r="G334" s="2"/>
      <c r="H334" s="8"/>
      <c r="I334" s="8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3">
      <c r="A335" s="2"/>
      <c r="B335" s="2"/>
      <c r="C335" s="2"/>
      <c r="D335" s="2"/>
      <c r="E335" s="2"/>
      <c r="F335" s="2"/>
      <c r="G335" s="2"/>
      <c r="H335" s="8"/>
      <c r="I335" s="8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3">
      <c r="A336" s="2"/>
      <c r="B336" s="2"/>
      <c r="C336" s="2"/>
      <c r="D336" s="2"/>
      <c r="E336" s="2"/>
      <c r="F336" s="2"/>
      <c r="G336" s="2"/>
      <c r="H336" s="8"/>
      <c r="I336" s="8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3">
      <c r="A337" s="2"/>
      <c r="B337" s="2"/>
      <c r="C337" s="2"/>
      <c r="D337" s="2"/>
      <c r="E337" s="2"/>
      <c r="F337" s="2"/>
      <c r="G337" s="2"/>
      <c r="H337" s="8"/>
      <c r="I337" s="8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3">
      <c r="A338" s="2"/>
      <c r="B338" s="2"/>
      <c r="C338" s="2"/>
      <c r="D338" s="2"/>
      <c r="E338" s="2"/>
      <c r="F338" s="2"/>
      <c r="G338" s="2"/>
      <c r="H338" s="8"/>
      <c r="I338" s="8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3">
      <c r="A339" s="2"/>
      <c r="B339" s="2"/>
      <c r="C339" s="2"/>
      <c r="D339" s="2"/>
      <c r="E339" s="2"/>
      <c r="F339" s="2"/>
      <c r="G339" s="2"/>
      <c r="H339" s="8"/>
      <c r="I339" s="8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3">
      <c r="A340" s="2"/>
      <c r="B340" s="2"/>
      <c r="C340" s="2"/>
      <c r="D340" s="2"/>
      <c r="E340" s="2"/>
      <c r="F340" s="2"/>
      <c r="G340" s="2"/>
      <c r="H340" s="8"/>
      <c r="I340" s="8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3">
      <c r="A341" s="2"/>
      <c r="B341" s="2"/>
      <c r="C341" s="2"/>
      <c r="D341" s="2"/>
      <c r="E341" s="2"/>
      <c r="F341" s="2"/>
      <c r="G341" s="2"/>
      <c r="H341" s="8"/>
      <c r="I341" s="8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3">
      <c r="A342" s="2"/>
      <c r="B342" s="2"/>
      <c r="C342" s="2"/>
      <c r="D342" s="2"/>
      <c r="E342" s="2"/>
      <c r="F342" s="2"/>
      <c r="G342" s="2"/>
      <c r="H342" s="8"/>
      <c r="I342" s="8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3">
      <c r="A343" s="2"/>
      <c r="B343" s="2"/>
      <c r="C343" s="2"/>
      <c r="D343" s="2"/>
      <c r="E343" s="2"/>
      <c r="F343" s="2"/>
      <c r="G343" s="2"/>
      <c r="H343" s="8"/>
      <c r="I343" s="8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3">
      <c r="A344" s="2"/>
      <c r="B344" s="2"/>
      <c r="C344" s="2"/>
      <c r="D344" s="2"/>
      <c r="E344" s="2"/>
      <c r="F344" s="2"/>
      <c r="G344" s="2"/>
      <c r="H344" s="8"/>
      <c r="I344" s="8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3">
      <c r="A345" s="2"/>
      <c r="B345" s="2"/>
      <c r="C345" s="2"/>
      <c r="D345" s="2"/>
      <c r="E345" s="2"/>
      <c r="F345" s="2"/>
      <c r="G345" s="2"/>
      <c r="H345" s="8"/>
      <c r="I345" s="8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3">
      <c r="A346" s="2"/>
      <c r="B346" s="2"/>
      <c r="C346" s="2"/>
      <c r="D346" s="2"/>
      <c r="E346" s="2"/>
      <c r="F346" s="2"/>
      <c r="G346" s="2"/>
      <c r="H346" s="8"/>
      <c r="I346" s="8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3">
      <c r="A347" s="2"/>
      <c r="B347" s="2"/>
      <c r="C347" s="2"/>
      <c r="D347" s="2"/>
      <c r="E347" s="2"/>
      <c r="F347" s="2"/>
      <c r="G347" s="2"/>
      <c r="H347" s="8"/>
      <c r="I347" s="8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3">
      <c r="A348" s="2"/>
      <c r="B348" s="2"/>
      <c r="C348" s="2"/>
      <c r="D348" s="2"/>
      <c r="E348" s="2"/>
      <c r="F348" s="2"/>
      <c r="G348" s="2"/>
      <c r="H348" s="8"/>
      <c r="I348" s="8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3">
      <c r="A349" s="2"/>
      <c r="B349" s="2"/>
      <c r="C349" s="2"/>
      <c r="D349" s="2"/>
      <c r="E349" s="2"/>
      <c r="F349" s="2"/>
      <c r="G349" s="2"/>
      <c r="H349" s="8"/>
      <c r="I349" s="8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3">
      <c r="A350" s="2"/>
      <c r="B350" s="2"/>
      <c r="C350" s="2"/>
      <c r="D350" s="2"/>
      <c r="E350" s="2"/>
      <c r="F350" s="2"/>
      <c r="G350" s="2"/>
      <c r="H350" s="8"/>
      <c r="I350" s="8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3">
      <c r="A351" s="2"/>
      <c r="B351" s="2"/>
      <c r="C351" s="2"/>
      <c r="D351" s="2"/>
      <c r="E351" s="2"/>
      <c r="F351" s="2"/>
      <c r="G351" s="2"/>
      <c r="H351" s="8"/>
      <c r="I351" s="8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3">
      <c r="A352" s="2"/>
      <c r="B352" s="2"/>
      <c r="C352" s="2"/>
      <c r="D352" s="2"/>
      <c r="E352" s="2"/>
      <c r="F352" s="2"/>
      <c r="G352" s="2"/>
      <c r="H352" s="8"/>
      <c r="I352" s="8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3">
      <c r="A353" s="2"/>
      <c r="B353" s="2"/>
      <c r="C353" s="2"/>
      <c r="D353" s="2"/>
      <c r="E353" s="2"/>
      <c r="F353" s="2"/>
      <c r="G353" s="2"/>
      <c r="H353" s="8"/>
      <c r="I353" s="8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3">
      <c r="A354" s="2"/>
      <c r="B354" s="2"/>
      <c r="C354" s="2"/>
      <c r="D354" s="2"/>
      <c r="E354" s="2"/>
      <c r="F354" s="2"/>
      <c r="G354" s="2"/>
      <c r="H354" s="8"/>
      <c r="I354" s="8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3">
      <c r="A355" s="2"/>
      <c r="B355" s="2"/>
      <c r="C355" s="2"/>
      <c r="D355" s="2"/>
      <c r="E355" s="2"/>
      <c r="F355" s="2"/>
      <c r="G355" s="2"/>
      <c r="H355" s="8"/>
      <c r="I355" s="8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3">
      <c r="A356" s="2"/>
      <c r="B356" s="2"/>
      <c r="C356" s="2"/>
      <c r="D356" s="2"/>
      <c r="E356" s="2"/>
      <c r="F356" s="2"/>
      <c r="G356" s="2"/>
      <c r="H356" s="8"/>
      <c r="I356" s="8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3">
      <c r="A357" s="2"/>
      <c r="B357" s="2"/>
      <c r="C357" s="2"/>
      <c r="D357" s="2"/>
      <c r="E357" s="2"/>
      <c r="F357" s="2"/>
      <c r="G357" s="2"/>
      <c r="H357" s="8"/>
      <c r="I357" s="8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3">
      <c r="A358" s="2"/>
      <c r="B358" s="2"/>
      <c r="C358" s="2"/>
      <c r="D358" s="2"/>
      <c r="E358" s="2"/>
      <c r="F358" s="2"/>
      <c r="G358" s="2"/>
      <c r="H358" s="8"/>
      <c r="I358" s="8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3">
      <c r="A359" s="2"/>
      <c r="B359" s="2"/>
      <c r="C359" s="2"/>
      <c r="D359" s="2"/>
      <c r="E359" s="2"/>
      <c r="F359" s="2"/>
      <c r="G359" s="2"/>
      <c r="H359" s="8"/>
      <c r="I359" s="8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3">
      <c r="A360" s="2"/>
      <c r="B360" s="2"/>
      <c r="C360" s="2"/>
      <c r="D360" s="2"/>
      <c r="E360" s="2"/>
      <c r="F360" s="2"/>
      <c r="G360" s="2"/>
      <c r="H360" s="8"/>
      <c r="I360" s="8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3">
      <c r="A361" s="2"/>
      <c r="B361" s="2"/>
      <c r="C361" s="2"/>
      <c r="D361" s="2"/>
      <c r="E361" s="2"/>
      <c r="F361" s="2"/>
      <c r="G361" s="2"/>
      <c r="H361" s="8"/>
      <c r="I361" s="8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3">
      <c r="A362" s="2"/>
      <c r="B362" s="2"/>
      <c r="C362" s="2"/>
      <c r="D362" s="2"/>
      <c r="E362" s="2"/>
      <c r="F362" s="2"/>
      <c r="G362" s="2"/>
      <c r="H362" s="8"/>
      <c r="I362" s="8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3">
      <c r="A363" s="2"/>
      <c r="B363" s="2"/>
      <c r="C363" s="2"/>
      <c r="D363" s="2"/>
      <c r="E363" s="2"/>
      <c r="F363" s="2"/>
      <c r="G363" s="2"/>
      <c r="H363" s="8"/>
      <c r="I363" s="8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3">
      <c r="A364" s="2"/>
      <c r="B364" s="2"/>
      <c r="C364" s="2"/>
      <c r="D364" s="2"/>
      <c r="E364" s="2"/>
      <c r="F364" s="2"/>
      <c r="G364" s="2"/>
      <c r="H364" s="8"/>
      <c r="I364" s="8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3">
      <c r="A365" s="2"/>
      <c r="B365" s="2"/>
      <c r="C365" s="2"/>
      <c r="D365" s="2"/>
      <c r="E365" s="2"/>
      <c r="F365" s="2"/>
      <c r="G365" s="2"/>
      <c r="H365" s="8"/>
      <c r="I365" s="8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3">
      <c r="A366" s="2"/>
      <c r="B366" s="2"/>
      <c r="C366" s="2"/>
      <c r="D366" s="2"/>
      <c r="E366" s="2"/>
      <c r="F366" s="2"/>
      <c r="G366" s="2"/>
      <c r="H366" s="8"/>
      <c r="I366" s="8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3">
      <c r="A367" s="2"/>
      <c r="B367" s="2"/>
      <c r="C367" s="2"/>
      <c r="D367" s="2"/>
      <c r="E367" s="2"/>
      <c r="F367" s="2"/>
      <c r="G367" s="2"/>
      <c r="H367" s="8"/>
      <c r="I367" s="8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3">
      <c r="A368" s="2"/>
      <c r="B368" s="2"/>
      <c r="C368" s="2"/>
      <c r="D368" s="2"/>
      <c r="E368" s="2"/>
      <c r="F368" s="2"/>
      <c r="G368" s="2"/>
      <c r="H368" s="8"/>
      <c r="I368" s="8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3">
      <c r="A369" s="2"/>
      <c r="B369" s="2"/>
      <c r="C369" s="2"/>
      <c r="D369" s="2"/>
      <c r="E369" s="2"/>
      <c r="F369" s="2"/>
      <c r="G369" s="2"/>
      <c r="H369" s="8"/>
      <c r="I369" s="8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3">
      <c r="A370" s="2"/>
      <c r="B370" s="2"/>
      <c r="C370" s="2"/>
      <c r="D370" s="2"/>
      <c r="E370" s="2"/>
      <c r="F370" s="2"/>
      <c r="G370" s="2"/>
      <c r="H370" s="8"/>
      <c r="I370" s="8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3">
      <c r="A371" s="2"/>
      <c r="B371" s="2"/>
      <c r="C371" s="2"/>
      <c r="D371" s="2"/>
      <c r="E371" s="2"/>
      <c r="F371" s="2"/>
      <c r="G371" s="2"/>
      <c r="H371" s="8"/>
      <c r="I371" s="8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3">
      <c r="A372" s="2"/>
      <c r="B372" s="2"/>
      <c r="C372" s="2"/>
      <c r="D372" s="2"/>
      <c r="E372" s="2"/>
      <c r="F372" s="2"/>
      <c r="G372" s="2"/>
      <c r="H372" s="8"/>
      <c r="I372" s="8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3">
      <c r="A373" s="2"/>
      <c r="B373" s="2"/>
      <c r="C373" s="2"/>
      <c r="D373" s="2"/>
      <c r="E373" s="2"/>
      <c r="F373" s="2"/>
      <c r="G373" s="2"/>
      <c r="H373" s="8"/>
      <c r="I373" s="8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3">
      <c r="A374" s="2"/>
      <c r="B374" s="2"/>
      <c r="C374" s="2"/>
      <c r="D374" s="2"/>
      <c r="E374" s="2"/>
      <c r="F374" s="2"/>
      <c r="G374" s="2"/>
      <c r="H374" s="8"/>
      <c r="I374" s="8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3">
      <c r="A375" s="2"/>
      <c r="B375" s="2"/>
      <c r="C375" s="2"/>
      <c r="D375" s="2"/>
      <c r="E375" s="2"/>
      <c r="F375" s="2"/>
      <c r="G375" s="2"/>
      <c r="H375" s="8"/>
      <c r="I375" s="8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3">
      <c r="A376" s="2"/>
      <c r="B376" s="2"/>
      <c r="C376" s="2"/>
      <c r="D376" s="2"/>
      <c r="E376" s="2"/>
      <c r="F376" s="2"/>
      <c r="G376" s="2"/>
      <c r="H376" s="8"/>
      <c r="I376" s="8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3">
      <c r="A377" s="2"/>
      <c r="B377" s="2"/>
      <c r="C377" s="2"/>
      <c r="D377" s="2"/>
      <c r="E377" s="2"/>
      <c r="F377" s="2"/>
      <c r="G377" s="2"/>
      <c r="H377" s="8"/>
      <c r="I377" s="8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3">
      <c r="A378" s="2"/>
      <c r="B378" s="2"/>
      <c r="C378" s="2"/>
      <c r="D378" s="2"/>
      <c r="E378" s="2"/>
      <c r="F378" s="2"/>
      <c r="G378" s="2"/>
      <c r="H378" s="8"/>
      <c r="I378" s="8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3">
      <c r="A379" s="2"/>
      <c r="B379" s="2"/>
      <c r="C379" s="2"/>
      <c r="D379" s="2"/>
      <c r="E379" s="2"/>
      <c r="F379" s="2"/>
      <c r="G379" s="2"/>
      <c r="H379" s="8"/>
      <c r="I379" s="8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3">
      <c r="A380" s="2"/>
      <c r="B380" s="2"/>
      <c r="C380" s="2"/>
      <c r="D380" s="2"/>
      <c r="E380" s="2"/>
      <c r="F380" s="2"/>
      <c r="G380" s="2"/>
      <c r="H380" s="8"/>
      <c r="I380" s="8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3">
      <c r="A381" s="2"/>
      <c r="B381" s="2"/>
      <c r="C381" s="2"/>
      <c r="D381" s="2"/>
      <c r="E381" s="2"/>
      <c r="F381" s="2"/>
      <c r="G381" s="2"/>
      <c r="H381" s="8"/>
      <c r="I381" s="8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3">
      <c r="A382" s="2"/>
      <c r="B382" s="2"/>
      <c r="C382" s="2"/>
      <c r="D382" s="2"/>
      <c r="E382" s="2"/>
      <c r="F382" s="2"/>
      <c r="G382" s="2"/>
      <c r="H382" s="8"/>
      <c r="I382" s="8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3">
      <c r="A383" s="2"/>
      <c r="B383" s="2"/>
      <c r="C383" s="2"/>
      <c r="D383" s="2"/>
      <c r="E383" s="2"/>
      <c r="F383" s="2"/>
      <c r="G383" s="2"/>
      <c r="H383" s="8"/>
      <c r="I383" s="8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3">
      <c r="A384" s="2"/>
      <c r="B384" s="2"/>
      <c r="C384" s="2"/>
      <c r="D384" s="2"/>
      <c r="E384" s="2"/>
      <c r="F384" s="2"/>
      <c r="G384" s="2"/>
      <c r="H384" s="8"/>
      <c r="I384" s="8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3">
      <c r="A385" s="2"/>
      <c r="B385" s="2"/>
      <c r="C385" s="2"/>
      <c r="D385" s="2"/>
      <c r="E385" s="2"/>
      <c r="F385" s="2"/>
      <c r="G385" s="2"/>
      <c r="H385" s="8"/>
      <c r="I385" s="8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3">
      <c r="A386" s="2"/>
      <c r="B386" s="2"/>
      <c r="C386" s="2"/>
      <c r="D386" s="2"/>
      <c r="E386" s="2"/>
      <c r="F386" s="2"/>
      <c r="G386" s="2"/>
      <c r="H386" s="8"/>
      <c r="I386" s="8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3">
      <c r="A387" s="2"/>
      <c r="B387" s="2"/>
      <c r="C387" s="2"/>
      <c r="D387" s="2"/>
      <c r="E387" s="2"/>
      <c r="F387" s="2"/>
      <c r="G387" s="2"/>
      <c r="H387" s="8"/>
      <c r="I387" s="8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3">
      <c r="A388" s="2"/>
      <c r="B388" s="2"/>
      <c r="C388" s="2"/>
      <c r="D388" s="2"/>
      <c r="E388" s="2"/>
      <c r="F388" s="2"/>
      <c r="G388" s="2"/>
      <c r="H388" s="8"/>
      <c r="I388" s="8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3">
      <c r="A389" s="2"/>
      <c r="B389" s="2"/>
      <c r="C389" s="2"/>
      <c r="D389" s="2"/>
      <c r="E389" s="2"/>
      <c r="F389" s="2"/>
      <c r="G389" s="2"/>
      <c r="H389" s="8"/>
      <c r="I389" s="8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3">
      <c r="A390" s="2"/>
      <c r="B390" s="2"/>
      <c r="C390" s="2"/>
      <c r="D390" s="2"/>
      <c r="E390" s="2"/>
      <c r="F390" s="2"/>
      <c r="G390" s="2"/>
      <c r="H390" s="8"/>
      <c r="I390" s="8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3">
      <c r="A391" s="2"/>
      <c r="B391" s="2"/>
      <c r="C391" s="2"/>
      <c r="D391" s="2"/>
      <c r="E391" s="2"/>
      <c r="F391" s="2"/>
      <c r="G391" s="2"/>
      <c r="H391" s="8"/>
      <c r="I391" s="8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3">
      <c r="A392" s="2"/>
      <c r="B392" s="2"/>
      <c r="C392" s="2"/>
      <c r="D392" s="2"/>
      <c r="E392" s="2"/>
      <c r="F392" s="2"/>
      <c r="G392" s="2"/>
      <c r="H392" s="8"/>
      <c r="I392" s="8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3">
      <c r="A393" s="2"/>
      <c r="B393" s="2"/>
      <c r="C393" s="2"/>
      <c r="D393" s="2"/>
      <c r="E393" s="2"/>
      <c r="F393" s="2"/>
      <c r="G393" s="2"/>
      <c r="H393" s="8"/>
      <c r="I393" s="8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3">
      <c r="A394" s="2"/>
      <c r="B394" s="2"/>
      <c r="C394" s="2"/>
      <c r="D394" s="2"/>
      <c r="E394" s="2"/>
      <c r="F394" s="2"/>
      <c r="G394" s="2"/>
      <c r="H394" s="8"/>
      <c r="I394" s="8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3">
      <c r="A395" s="2"/>
      <c r="B395" s="2"/>
      <c r="C395" s="2"/>
      <c r="D395" s="2"/>
      <c r="E395" s="2"/>
      <c r="F395" s="2"/>
      <c r="G395" s="2"/>
      <c r="H395" s="8"/>
      <c r="I395" s="8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3">
      <c r="A396" s="2"/>
      <c r="B396" s="2"/>
      <c r="C396" s="2"/>
      <c r="D396" s="2"/>
      <c r="E396" s="2"/>
      <c r="F396" s="2"/>
      <c r="G396" s="2"/>
      <c r="H396" s="8"/>
      <c r="I396" s="8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3">
      <c r="A397" s="2"/>
      <c r="B397" s="2"/>
      <c r="C397" s="2"/>
      <c r="D397" s="2"/>
      <c r="E397" s="2"/>
      <c r="F397" s="2"/>
      <c r="G397" s="2"/>
      <c r="H397" s="8"/>
      <c r="I397" s="8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3">
      <c r="A398" s="2"/>
      <c r="B398" s="2"/>
      <c r="C398" s="2"/>
      <c r="D398" s="2"/>
      <c r="E398" s="2"/>
      <c r="F398" s="2"/>
      <c r="G398" s="2"/>
      <c r="H398" s="8"/>
      <c r="I398" s="8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3">
      <c r="A399" s="2"/>
      <c r="B399" s="2"/>
      <c r="C399" s="2"/>
      <c r="D399" s="2"/>
      <c r="E399" s="2"/>
      <c r="F399" s="2"/>
      <c r="G399" s="2"/>
      <c r="H399" s="8"/>
      <c r="I399" s="8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3">
      <c r="A400" s="2"/>
      <c r="B400" s="2"/>
      <c r="C400" s="2"/>
      <c r="D400" s="2"/>
      <c r="E400" s="2"/>
      <c r="F400" s="2"/>
      <c r="G400" s="2"/>
      <c r="H400" s="8"/>
      <c r="I400" s="8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3">
      <c r="A401" s="2"/>
      <c r="B401" s="2"/>
      <c r="C401" s="2"/>
      <c r="D401" s="2"/>
      <c r="E401" s="2"/>
      <c r="F401" s="2"/>
      <c r="G401" s="2"/>
      <c r="H401" s="8"/>
      <c r="I401" s="8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3">
      <c r="A402" s="2"/>
      <c r="B402" s="2"/>
      <c r="C402" s="2"/>
      <c r="D402" s="2"/>
      <c r="E402" s="2"/>
      <c r="F402" s="2"/>
      <c r="G402" s="2"/>
      <c r="H402" s="8"/>
      <c r="I402" s="8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3">
      <c r="A403" s="2"/>
      <c r="B403" s="2"/>
      <c r="C403" s="2"/>
      <c r="D403" s="2"/>
      <c r="E403" s="2"/>
      <c r="F403" s="2"/>
      <c r="G403" s="2"/>
      <c r="H403" s="8"/>
      <c r="I403" s="8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3">
      <c r="A404" s="2"/>
      <c r="B404" s="2"/>
      <c r="C404" s="2"/>
      <c r="D404" s="2"/>
      <c r="E404" s="2"/>
      <c r="F404" s="2"/>
      <c r="G404" s="2"/>
      <c r="H404" s="8"/>
      <c r="I404" s="8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3">
      <c r="A405" s="2"/>
      <c r="B405" s="2"/>
      <c r="C405" s="2"/>
      <c r="D405" s="2"/>
      <c r="E405" s="2"/>
      <c r="F405" s="2"/>
      <c r="G405" s="2"/>
      <c r="H405" s="8"/>
      <c r="I405" s="8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3">
      <c r="A406" s="2"/>
      <c r="B406" s="2"/>
      <c r="C406" s="2"/>
      <c r="D406" s="2"/>
      <c r="E406" s="2"/>
      <c r="F406" s="2"/>
      <c r="G406" s="2"/>
      <c r="H406" s="8"/>
      <c r="I406" s="8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3">
      <c r="A407" s="2"/>
      <c r="B407" s="2"/>
      <c r="C407" s="2"/>
      <c r="D407" s="2"/>
      <c r="E407" s="2"/>
      <c r="F407" s="2"/>
      <c r="G407" s="2"/>
      <c r="H407" s="8"/>
      <c r="I407" s="8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3">
      <c r="A408" s="2"/>
      <c r="B408" s="2"/>
      <c r="C408" s="2"/>
      <c r="D408" s="2"/>
      <c r="E408" s="2"/>
      <c r="F408" s="2"/>
      <c r="G408" s="2"/>
      <c r="H408" s="8"/>
      <c r="I408" s="8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3">
      <c r="A409" s="2"/>
      <c r="B409" s="2"/>
      <c r="C409" s="2"/>
      <c r="D409" s="2"/>
      <c r="E409" s="2"/>
      <c r="F409" s="2"/>
      <c r="G409" s="2"/>
      <c r="H409" s="8"/>
      <c r="I409" s="8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3">
      <c r="A410" s="2"/>
      <c r="B410" s="2"/>
      <c r="C410" s="2"/>
      <c r="D410" s="2"/>
      <c r="E410" s="2"/>
      <c r="F410" s="2"/>
      <c r="G410" s="2"/>
      <c r="H410" s="8"/>
      <c r="I410" s="8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3">
      <c r="A411" s="2"/>
      <c r="B411" s="2"/>
      <c r="C411" s="2"/>
      <c r="D411" s="2"/>
      <c r="E411" s="2"/>
      <c r="F411" s="2"/>
      <c r="G411" s="2"/>
      <c r="H411" s="8"/>
      <c r="I411" s="8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3">
      <c r="A412" s="2"/>
      <c r="B412" s="2"/>
      <c r="C412" s="2"/>
      <c r="D412" s="2"/>
      <c r="E412" s="2"/>
      <c r="F412" s="2"/>
      <c r="G412" s="2"/>
      <c r="H412" s="8"/>
      <c r="I412" s="8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3">
      <c r="A413" s="2"/>
      <c r="B413" s="2"/>
      <c r="C413" s="2"/>
      <c r="D413" s="2"/>
      <c r="E413" s="2"/>
      <c r="F413" s="2"/>
      <c r="G413" s="2"/>
      <c r="H413" s="8"/>
      <c r="I413" s="8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3">
      <c r="A414" s="2"/>
      <c r="B414" s="2"/>
      <c r="C414" s="2"/>
      <c r="D414" s="2"/>
      <c r="E414" s="2"/>
      <c r="F414" s="2"/>
      <c r="G414" s="2"/>
      <c r="H414" s="8"/>
      <c r="I414" s="8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3">
      <c r="A415" s="2"/>
      <c r="B415" s="2"/>
      <c r="C415" s="2"/>
      <c r="D415" s="2"/>
      <c r="E415" s="2"/>
      <c r="F415" s="2"/>
      <c r="G415" s="2"/>
      <c r="H415" s="8"/>
      <c r="I415" s="8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3">
      <c r="A416" s="2"/>
      <c r="B416" s="2"/>
      <c r="C416" s="2"/>
      <c r="D416" s="2"/>
      <c r="E416" s="2"/>
      <c r="F416" s="2"/>
      <c r="G416" s="2"/>
      <c r="H416" s="8"/>
      <c r="I416" s="8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3">
      <c r="A417" s="2"/>
      <c r="B417" s="2"/>
      <c r="C417" s="2"/>
      <c r="D417" s="2"/>
      <c r="E417" s="2"/>
      <c r="F417" s="2"/>
      <c r="G417" s="2"/>
      <c r="H417" s="8"/>
      <c r="I417" s="8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3">
      <c r="A418" s="2"/>
      <c r="B418" s="2"/>
      <c r="C418" s="2"/>
      <c r="D418" s="2"/>
      <c r="E418" s="2"/>
      <c r="F418" s="2"/>
      <c r="G418" s="2"/>
      <c r="H418" s="8"/>
      <c r="I418" s="8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3">
      <c r="A419" s="2"/>
      <c r="B419" s="2"/>
      <c r="C419" s="2"/>
      <c r="D419" s="2"/>
      <c r="E419" s="2"/>
      <c r="F419" s="2"/>
      <c r="G419" s="2"/>
      <c r="H419" s="8"/>
      <c r="I419" s="8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3">
      <c r="A420" s="2"/>
      <c r="B420" s="2"/>
      <c r="C420" s="2"/>
      <c r="D420" s="2"/>
      <c r="E420" s="2"/>
      <c r="F420" s="2"/>
      <c r="G420" s="2"/>
      <c r="H420" s="8"/>
      <c r="I420" s="8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3">
      <c r="A421" s="2"/>
      <c r="B421" s="2"/>
      <c r="C421" s="2"/>
      <c r="D421" s="2"/>
      <c r="E421" s="2"/>
      <c r="F421" s="2"/>
      <c r="G421" s="2"/>
      <c r="H421" s="8"/>
      <c r="I421" s="8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3">
      <c r="A422" s="2"/>
      <c r="B422" s="2"/>
      <c r="C422" s="2"/>
      <c r="D422" s="2"/>
      <c r="E422" s="2"/>
      <c r="F422" s="2"/>
      <c r="G422" s="2"/>
      <c r="H422" s="8"/>
      <c r="I422" s="8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3">
      <c r="A423" s="2"/>
      <c r="B423" s="2"/>
      <c r="C423" s="2"/>
      <c r="D423" s="2"/>
      <c r="E423" s="2"/>
      <c r="F423" s="2"/>
      <c r="G423" s="2"/>
      <c r="H423" s="8"/>
      <c r="I423" s="8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3">
      <c r="A424" s="2"/>
      <c r="B424" s="2"/>
      <c r="C424" s="2"/>
      <c r="D424" s="2"/>
      <c r="E424" s="2"/>
      <c r="F424" s="2"/>
      <c r="G424" s="2"/>
      <c r="H424" s="8"/>
      <c r="I424" s="8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3">
      <c r="A425" s="2"/>
      <c r="B425" s="2"/>
      <c r="C425" s="2"/>
      <c r="D425" s="2"/>
      <c r="E425" s="2"/>
      <c r="F425" s="2"/>
      <c r="G425" s="2"/>
      <c r="H425" s="8"/>
      <c r="I425" s="8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3">
      <c r="A426" s="2"/>
      <c r="B426" s="2"/>
      <c r="C426" s="2"/>
      <c r="D426" s="2"/>
      <c r="E426" s="2"/>
      <c r="F426" s="2"/>
      <c r="G426" s="2"/>
      <c r="H426" s="8"/>
      <c r="I426" s="8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3">
      <c r="A427" s="2"/>
      <c r="B427" s="2"/>
      <c r="C427" s="2"/>
      <c r="D427" s="2"/>
      <c r="E427" s="2"/>
      <c r="F427" s="2"/>
      <c r="G427" s="2"/>
      <c r="H427" s="8"/>
      <c r="I427" s="8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3">
      <c r="A428" s="2"/>
      <c r="B428" s="2"/>
      <c r="C428" s="2"/>
      <c r="D428" s="2"/>
      <c r="E428" s="2"/>
      <c r="F428" s="2"/>
      <c r="G428" s="2"/>
      <c r="H428" s="8"/>
      <c r="I428" s="8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3">
      <c r="A429" s="2"/>
      <c r="B429" s="2"/>
      <c r="C429" s="2"/>
      <c r="D429" s="2"/>
      <c r="E429" s="2"/>
      <c r="F429" s="2"/>
      <c r="G429" s="2"/>
      <c r="H429" s="8"/>
      <c r="I429" s="8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3">
      <c r="A430" s="2"/>
      <c r="B430" s="2"/>
      <c r="C430" s="2"/>
      <c r="D430" s="2"/>
      <c r="E430" s="2"/>
      <c r="F430" s="2"/>
      <c r="G430" s="2"/>
      <c r="H430" s="8"/>
      <c r="I430" s="8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3">
      <c r="A431" s="2"/>
      <c r="B431" s="2"/>
      <c r="C431" s="2"/>
      <c r="D431" s="2"/>
      <c r="E431" s="2"/>
      <c r="F431" s="2"/>
      <c r="G431" s="2"/>
      <c r="H431" s="8"/>
      <c r="I431" s="8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3">
      <c r="A432" s="2"/>
      <c r="B432" s="2"/>
      <c r="C432" s="2"/>
      <c r="D432" s="2"/>
      <c r="E432" s="2"/>
      <c r="F432" s="2"/>
      <c r="G432" s="2"/>
      <c r="H432" s="8"/>
      <c r="I432" s="8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3">
      <c r="A433" s="2"/>
      <c r="B433" s="2"/>
      <c r="C433" s="2"/>
      <c r="D433" s="2"/>
      <c r="E433" s="2"/>
      <c r="F433" s="2"/>
      <c r="G433" s="2"/>
      <c r="H433" s="8"/>
      <c r="I433" s="8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3">
      <c r="A434" s="2"/>
      <c r="B434" s="2"/>
      <c r="C434" s="2"/>
      <c r="D434" s="2"/>
      <c r="E434" s="2"/>
      <c r="F434" s="2"/>
      <c r="G434" s="2"/>
      <c r="H434" s="8"/>
      <c r="I434" s="8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3">
      <c r="A435" s="2"/>
      <c r="B435" s="2"/>
      <c r="C435" s="2"/>
      <c r="D435" s="2"/>
      <c r="E435" s="2"/>
      <c r="F435" s="2"/>
      <c r="G435" s="2"/>
      <c r="H435" s="8"/>
      <c r="I435" s="8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3">
      <c r="A436" s="2"/>
      <c r="B436" s="2"/>
      <c r="C436" s="2"/>
      <c r="D436" s="2"/>
      <c r="E436" s="2"/>
      <c r="F436" s="2"/>
      <c r="G436" s="2"/>
      <c r="H436" s="8"/>
      <c r="I436" s="8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3">
      <c r="A437" s="2"/>
      <c r="B437" s="2"/>
      <c r="C437" s="2"/>
      <c r="D437" s="2"/>
      <c r="E437" s="2"/>
      <c r="F437" s="2"/>
      <c r="G437" s="2"/>
      <c r="H437" s="8"/>
      <c r="I437" s="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3">
      <c r="A438" s="2"/>
      <c r="B438" s="2"/>
      <c r="C438" s="2"/>
      <c r="D438" s="2"/>
      <c r="E438" s="2"/>
      <c r="F438" s="2"/>
      <c r="G438" s="2"/>
      <c r="H438" s="8"/>
      <c r="I438" s="8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3">
      <c r="A439" s="2"/>
      <c r="B439" s="2"/>
      <c r="C439" s="2"/>
      <c r="D439" s="2"/>
      <c r="E439" s="2"/>
      <c r="F439" s="2"/>
      <c r="G439" s="2"/>
      <c r="H439" s="8"/>
      <c r="I439" s="8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3">
      <c r="A440" s="2"/>
      <c r="B440" s="2"/>
      <c r="C440" s="2"/>
      <c r="D440" s="2"/>
      <c r="E440" s="2"/>
      <c r="F440" s="2"/>
      <c r="G440" s="2"/>
      <c r="H440" s="8"/>
      <c r="I440" s="8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3">
      <c r="A441" s="2"/>
      <c r="B441" s="2"/>
      <c r="C441" s="2"/>
      <c r="D441" s="2"/>
      <c r="E441" s="2"/>
      <c r="F441" s="2"/>
      <c r="G441" s="2"/>
      <c r="H441" s="8"/>
      <c r="I441" s="8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3">
      <c r="A442" s="2"/>
      <c r="B442" s="2"/>
      <c r="C442" s="2"/>
      <c r="D442" s="2"/>
      <c r="E442" s="2"/>
      <c r="F442" s="2"/>
      <c r="G442" s="2"/>
      <c r="H442" s="8"/>
      <c r="I442" s="8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3">
      <c r="A443" s="2"/>
      <c r="B443" s="2"/>
      <c r="C443" s="2"/>
      <c r="D443" s="2"/>
      <c r="E443" s="2"/>
      <c r="F443" s="2"/>
      <c r="G443" s="2"/>
      <c r="H443" s="8"/>
      <c r="I443" s="8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3">
      <c r="A444" s="2"/>
      <c r="B444" s="2"/>
      <c r="C444" s="2"/>
      <c r="D444" s="2"/>
      <c r="E444" s="2"/>
      <c r="F444" s="2"/>
      <c r="G444" s="2"/>
      <c r="H444" s="8"/>
      <c r="I444" s="8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3">
      <c r="A445" s="2"/>
      <c r="B445" s="2"/>
      <c r="C445" s="2"/>
      <c r="D445" s="2"/>
      <c r="E445" s="2"/>
      <c r="F445" s="2"/>
      <c r="G445" s="2"/>
      <c r="H445" s="8"/>
      <c r="I445" s="8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3">
      <c r="A446" s="2"/>
      <c r="B446" s="2"/>
      <c r="C446" s="2"/>
      <c r="D446" s="2"/>
      <c r="E446" s="2"/>
      <c r="F446" s="2"/>
      <c r="G446" s="2"/>
      <c r="H446" s="8"/>
      <c r="I446" s="8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3">
      <c r="A447" s="2"/>
      <c r="B447" s="2"/>
      <c r="C447" s="2"/>
      <c r="D447" s="2"/>
      <c r="E447" s="2"/>
      <c r="F447" s="2"/>
      <c r="G447" s="2"/>
      <c r="H447" s="8"/>
      <c r="I447" s="8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3">
      <c r="A448" s="2"/>
      <c r="B448" s="2"/>
      <c r="C448" s="2"/>
      <c r="D448" s="2"/>
      <c r="E448" s="2"/>
      <c r="F448" s="2"/>
      <c r="G448" s="2"/>
      <c r="H448" s="8"/>
      <c r="I448" s="8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3">
      <c r="A449" s="2"/>
      <c r="B449" s="2"/>
      <c r="C449" s="2"/>
      <c r="D449" s="2"/>
      <c r="E449" s="2"/>
      <c r="F449" s="2"/>
      <c r="G449" s="2"/>
      <c r="H449" s="8"/>
      <c r="I449" s="8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3">
      <c r="A450" s="2"/>
      <c r="B450" s="2"/>
      <c r="C450" s="2"/>
      <c r="D450" s="2"/>
      <c r="E450" s="2"/>
      <c r="F450" s="2"/>
      <c r="G450" s="2"/>
      <c r="H450" s="8"/>
      <c r="I450" s="8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3">
      <c r="A451" s="2"/>
      <c r="B451" s="2"/>
      <c r="C451" s="2"/>
      <c r="D451" s="2"/>
      <c r="E451" s="2"/>
      <c r="F451" s="2"/>
      <c r="G451" s="2"/>
      <c r="H451" s="8"/>
      <c r="I451" s="8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3">
      <c r="A452" s="2"/>
      <c r="B452" s="2"/>
      <c r="C452" s="2"/>
      <c r="D452" s="2"/>
      <c r="E452" s="2"/>
      <c r="F452" s="2"/>
      <c r="G452" s="2"/>
      <c r="H452" s="8"/>
      <c r="I452" s="8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3">
      <c r="A453" s="2"/>
      <c r="B453" s="2"/>
      <c r="C453" s="2"/>
      <c r="D453" s="2"/>
      <c r="E453" s="2"/>
      <c r="F453" s="2"/>
      <c r="G453" s="2"/>
      <c r="H453" s="8"/>
      <c r="I453" s="8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3">
      <c r="A454" s="2"/>
      <c r="B454" s="2"/>
      <c r="C454" s="2"/>
      <c r="D454" s="2"/>
      <c r="E454" s="2"/>
      <c r="F454" s="2"/>
      <c r="G454" s="2"/>
      <c r="H454" s="8"/>
      <c r="I454" s="8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3">
      <c r="A455" s="2"/>
      <c r="B455" s="2"/>
      <c r="C455" s="2"/>
      <c r="D455" s="2"/>
      <c r="E455" s="2"/>
      <c r="F455" s="2"/>
      <c r="G455" s="2"/>
      <c r="H455" s="8"/>
      <c r="I455" s="8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3">
      <c r="A456" s="2"/>
      <c r="B456" s="2"/>
      <c r="C456" s="2"/>
      <c r="D456" s="2"/>
      <c r="E456" s="2"/>
      <c r="F456" s="2"/>
      <c r="G456" s="2"/>
      <c r="H456" s="8"/>
      <c r="I456" s="8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3">
      <c r="A457" s="2"/>
      <c r="B457" s="2"/>
      <c r="C457" s="2"/>
      <c r="D457" s="2"/>
      <c r="E457" s="2"/>
      <c r="F457" s="2"/>
      <c r="G457" s="2"/>
      <c r="H457" s="8"/>
      <c r="I457" s="8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3">
      <c r="A458" s="2"/>
      <c r="B458" s="2"/>
      <c r="C458" s="2"/>
      <c r="D458" s="2"/>
      <c r="E458" s="2"/>
      <c r="F458" s="2"/>
      <c r="G458" s="2"/>
      <c r="H458" s="8"/>
      <c r="I458" s="8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3">
      <c r="A459" s="2"/>
      <c r="B459" s="2"/>
      <c r="C459" s="2"/>
      <c r="D459" s="2"/>
      <c r="E459" s="2"/>
      <c r="F459" s="2"/>
      <c r="G459" s="2"/>
      <c r="H459" s="8"/>
      <c r="I459" s="8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3">
      <c r="A460" s="2"/>
      <c r="B460" s="2"/>
      <c r="C460" s="2"/>
      <c r="D460" s="2"/>
      <c r="E460" s="2"/>
      <c r="F460" s="2"/>
      <c r="G460" s="2"/>
      <c r="H460" s="8"/>
      <c r="I460" s="8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3">
      <c r="A461" s="2"/>
      <c r="B461" s="2"/>
      <c r="C461" s="2"/>
      <c r="D461" s="2"/>
      <c r="E461" s="2"/>
      <c r="F461" s="2"/>
      <c r="G461" s="2"/>
      <c r="H461" s="8"/>
      <c r="I461" s="8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3">
      <c r="A462" s="2"/>
      <c r="B462" s="2"/>
      <c r="C462" s="2"/>
      <c r="D462" s="2"/>
      <c r="E462" s="2"/>
      <c r="F462" s="2"/>
      <c r="G462" s="2"/>
      <c r="H462" s="8"/>
      <c r="I462" s="8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3">
      <c r="A463" s="2"/>
      <c r="B463" s="2"/>
      <c r="C463" s="2"/>
      <c r="D463" s="2"/>
      <c r="E463" s="2"/>
      <c r="F463" s="2"/>
      <c r="G463" s="2"/>
      <c r="H463" s="8"/>
      <c r="I463" s="8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3">
      <c r="A464" s="2"/>
      <c r="B464" s="2"/>
      <c r="C464" s="2"/>
      <c r="D464" s="2"/>
      <c r="E464" s="2"/>
      <c r="F464" s="2"/>
      <c r="G464" s="2"/>
      <c r="H464" s="8"/>
      <c r="I464" s="8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3">
      <c r="A465" s="2"/>
      <c r="B465" s="2"/>
      <c r="C465" s="2"/>
      <c r="D465" s="2"/>
      <c r="E465" s="2"/>
      <c r="F465" s="2"/>
      <c r="G465" s="2"/>
      <c r="H465" s="8"/>
      <c r="I465" s="8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3">
      <c r="A466" s="2"/>
      <c r="B466" s="2"/>
      <c r="C466" s="2"/>
      <c r="D466" s="2"/>
      <c r="E466" s="2"/>
      <c r="F466" s="2"/>
      <c r="G466" s="2"/>
      <c r="H466" s="8"/>
      <c r="I466" s="8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3">
      <c r="A467" s="2"/>
      <c r="B467" s="2"/>
      <c r="C467" s="2"/>
      <c r="D467" s="2"/>
      <c r="E467" s="2"/>
      <c r="F467" s="2"/>
      <c r="G467" s="2"/>
      <c r="H467" s="8"/>
      <c r="I467" s="8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3">
      <c r="A468" s="2"/>
      <c r="B468" s="2"/>
      <c r="C468" s="2"/>
      <c r="D468" s="2"/>
      <c r="E468" s="2"/>
      <c r="F468" s="2"/>
      <c r="G468" s="2"/>
      <c r="H468" s="8"/>
      <c r="I468" s="8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3">
      <c r="A469" s="2"/>
      <c r="B469" s="2"/>
      <c r="C469" s="2"/>
      <c r="D469" s="2"/>
      <c r="E469" s="2"/>
      <c r="F469" s="2"/>
      <c r="G469" s="2"/>
      <c r="H469" s="8"/>
      <c r="I469" s="8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3">
      <c r="A470" s="2"/>
      <c r="B470" s="2"/>
      <c r="C470" s="2"/>
      <c r="D470" s="2"/>
      <c r="E470" s="2"/>
      <c r="F470" s="2"/>
      <c r="G470" s="2"/>
      <c r="H470" s="8"/>
      <c r="I470" s="8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3">
      <c r="A471" s="2"/>
      <c r="B471" s="2"/>
      <c r="C471" s="2"/>
      <c r="D471" s="2"/>
      <c r="E471" s="2"/>
      <c r="F471" s="2"/>
      <c r="G471" s="2"/>
      <c r="H471" s="8"/>
      <c r="I471" s="8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3">
      <c r="A472" s="2"/>
      <c r="B472" s="2"/>
      <c r="C472" s="2"/>
      <c r="D472" s="2"/>
      <c r="E472" s="2"/>
      <c r="F472" s="2"/>
      <c r="G472" s="2"/>
      <c r="H472" s="8"/>
      <c r="I472" s="8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3">
      <c r="A473" s="2"/>
      <c r="B473" s="2"/>
      <c r="C473" s="2"/>
      <c r="D473" s="2"/>
      <c r="E473" s="2"/>
      <c r="F473" s="2"/>
      <c r="G473" s="2"/>
      <c r="H473" s="8"/>
      <c r="I473" s="8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3">
      <c r="A474" s="2"/>
      <c r="B474" s="2"/>
      <c r="C474" s="2"/>
      <c r="D474" s="2"/>
      <c r="E474" s="2"/>
      <c r="F474" s="2"/>
      <c r="G474" s="2"/>
      <c r="H474" s="8"/>
      <c r="I474" s="8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3">
      <c r="A475" s="2"/>
      <c r="B475" s="2"/>
      <c r="C475" s="2"/>
      <c r="D475" s="2"/>
      <c r="E475" s="2"/>
      <c r="F475" s="2"/>
      <c r="G475" s="2"/>
      <c r="H475" s="8"/>
      <c r="I475" s="8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3">
      <c r="A476" s="2"/>
      <c r="B476" s="2"/>
      <c r="C476" s="2"/>
      <c r="D476" s="2"/>
      <c r="E476" s="2"/>
      <c r="F476" s="2"/>
      <c r="G476" s="2"/>
      <c r="H476" s="8"/>
      <c r="I476" s="8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3">
      <c r="A477" s="2"/>
      <c r="B477" s="2"/>
      <c r="C477" s="2"/>
      <c r="D477" s="2"/>
      <c r="E477" s="2"/>
      <c r="F477" s="2"/>
      <c r="G477" s="2"/>
      <c r="H477" s="8"/>
      <c r="I477" s="8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3">
      <c r="A478" s="2"/>
      <c r="B478" s="2"/>
      <c r="C478" s="2"/>
      <c r="D478" s="2"/>
      <c r="E478" s="2"/>
      <c r="F478" s="2"/>
      <c r="G478" s="2"/>
      <c r="H478" s="8"/>
      <c r="I478" s="8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3">
      <c r="A479" s="2"/>
      <c r="B479" s="2"/>
      <c r="C479" s="2"/>
      <c r="D479" s="2"/>
      <c r="E479" s="2"/>
      <c r="F479" s="2"/>
      <c r="G479" s="2"/>
      <c r="H479" s="8"/>
      <c r="I479" s="8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3">
      <c r="A480" s="2"/>
      <c r="B480" s="2"/>
      <c r="C480" s="2"/>
      <c r="D480" s="2"/>
      <c r="E480" s="2"/>
      <c r="F480" s="2"/>
      <c r="G480" s="2"/>
      <c r="H480" s="8"/>
      <c r="I480" s="8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3">
      <c r="A481" s="2"/>
      <c r="B481" s="2"/>
      <c r="C481" s="2"/>
      <c r="D481" s="2"/>
      <c r="E481" s="2"/>
      <c r="F481" s="2"/>
      <c r="G481" s="2"/>
      <c r="H481" s="8"/>
      <c r="I481" s="8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3">
      <c r="A482" s="2"/>
      <c r="B482" s="2"/>
      <c r="C482" s="2"/>
      <c r="D482" s="2"/>
      <c r="E482" s="2"/>
      <c r="F482" s="2"/>
      <c r="G482" s="2"/>
      <c r="H482" s="8"/>
      <c r="I482" s="8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3">
      <c r="A483" s="2"/>
      <c r="B483" s="2"/>
      <c r="C483" s="2"/>
      <c r="D483" s="2"/>
      <c r="E483" s="2"/>
      <c r="F483" s="2"/>
      <c r="G483" s="2"/>
      <c r="H483" s="8"/>
      <c r="I483" s="8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3">
      <c r="A484" s="2"/>
      <c r="B484" s="2"/>
      <c r="C484" s="2"/>
      <c r="D484" s="2"/>
      <c r="E484" s="2"/>
      <c r="F484" s="2"/>
      <c r="G484" s="2"/>
      <c r="H484" s="8"/>
      <c r="I484" s="8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3">
      <c r="A485" s="2"/>
      <c r="B485" s="2"/>
      <c r="C485" s="2"/>
      <c r="D485" s="2"/>
      <c r="E485" s="2"/>
      <c r="F485" s="2"/>
      <c r="G485" s="2"/>
      <c r="H485" s="8"/>
      <c r="I485" s="8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3">
      <c r="A486" s="2"/>
      <c r="B486" s="2"/>
      <c r="C486" s="2"/>
      <c r="D486" s="2"/>
      <c r="E486" s="2"/>
      <c r="F486" s="2"/>
      <c r="G486" s="2"/>
      <c r="H486" s="8"/>
      <c r="I486" s="8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3">
      <c r="A487" s="2"/>
      <c r="B487" s="2"/>
      <c r="C487" s="2"/>
      <c r="D487" s="2"/>
      <c r="E487" s="2"/>
      <c r="F487" s="2"/>
      <c r="G487" s="2"/>
      <c r="H487" s="8"/>
      <c r="I487" s="8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3">
      <c r="A488" s="2"/>
      <c r="B488" s="2"/>
      <c r="C488" s="2"/>
      <c r="D488" s="2"/>
      <c r="E488" s="2"/>
      <c r="F488" s="2"/>
      <c r="G488" s="2"/>
      <c r="H488" s="8"/>
      <c r="I488" s="8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3">
      <c r="A489" s="2"/>
      <c r="B489" s="2"/>
      <c r="C489" s="2"/>
      <c r="D489" s="2"/>
      <c r="E489" s="2"/>
      <c r="F489" s="2"/>
      <c r="G489" s="2"/>
      <c r="H489" s="8"/>
      <c r="I489" s="8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3">
      <c r="A490" s="2"/>
      <c r="B490" s="2"/>
      <c r="C490" s="2"/>
      <c r="D490" s="2"/>
      <c r="E490" s="2"/>
      <c r="F490" s="2"/>
      <c r="G490" s="2"/>
      <c r="H490" s="8"/>
      <c r="I490" s="8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3">
      <c r="A491" s="2"/>
      <c r="B491" s="2"/>
      <c r="C491" s="2"/>
      <c r="D491" s="2"/>
      <c r="E491" s="2"/>
      <c r="F491" s="2"/>
      <c r="G491" s="2"/>
      <c r="H491" s="8"/>
      <c r="I491" s="8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3">
      <c r="A492" s="2"/>
      <c r="B492" s="2"/>
      <c r="C492" s="2"/>
      <c r="D492" s="2"/>
      <c r="E492" s="2"/>
      <c r="F492" s="2"/>
      <c r="G492" s="2"/>
      <c r="H492" s="8"/>
      <c r="I492" s="8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3">
      <c r="A493" s="2"/>
      <c r="B493" s="2"/>
      <c r="C493" s="2"/>
      <c r="D493" s="2"/>
      <c r="E493" s="2"/>
      <c r="F493" s="2"/>
      <c r="G493" s="2"/>
      <c r="H493" s="8"/>
      <c r="I493" s="8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3">
      <c r="A494" s="2"/>
      <c r="B494" s="2"/>
      <c r="C494" s="2"/>
      <c r="D494" s="2"/>
      <c r="E494" s="2"/>
      <c r="F494" s="2"/>
      <c r="G494" s="2"/>
      <c r="H494" s="8"/>
      <c r="I494" s="8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3">
      <c r="A495" s="2"/>
      <c r="B495" s="2"/>
      <c r="C495" s="2"/>
      <c r="D495" s="2"/>
      <c r="E495" s="2"/>
      <c r="F495" s="2"/>
      <c r="G495" s="2"/>
      <c r="H495" s="8"/>
      <c r="I495" s="8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3">
      <c r="A496" s="2"/>
      <c r="B496" s="2"/>
      <c r="C496" s="2"/>
      <c r="D496" s="2"/>
      <c r="E496" s="2"/>
      <c r="F496" s="2"/>
      <c r="G496" s="2"/>
      <c r="H496" s="8"/>
      <c r="I496" s="8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3">
      <c r="A497" s="2"/>
      <c r="B497" s="2"/>
      <c r="C497" s="2"/>
      <c r="D497" s="2"/>
      <c r="E497" s="2"/>
      <c r="F497" s="2"/>
      <c r="G497" s="2"/>
      <c r="H497" s="8"/>
      <c r="I497" s="8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3">
      <c r="A498" s="2"/>
      <c r="B498" s="2"/>
      <c r="C498" s="2"/>
      <c r="D498" s="2"/>
      <c r="E498" s="2"/>
      <c r="F498" s="2"/>
      <c r="G498" s="2"/>
      <c r="H498" s="8"/>
      <c r="I498" s="8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3">
      <c r="A499" s="2"/>
      <c r="B499" s="2"/>
      <c r="C499" s="2"/>
      <c r="D499" s="2"/>
      <c r="E499" s="2"/>
      <c r="F499" s="2"/>
      <c r="G499" s="2"/>
      <c r="H499" s="8"/>
      <c r="I499" s="8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3">
      <c r="A500" s="2"/>
      <c r="B500" s="2"/>
      <c r="C500" s="2"/>
      <c r="D500" s="2"/>
      <c r="E500" s="2"/>
      <c r="F500" s="2"/>
      <c r="G500" s="2"/>
      <c r="H500" s="8"/>
      <c r="I500" s="8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3">
      <c r="A501" s="2"/>
      <c r="B501" s="2"/>
      <c r="C501" s="2"/>
      <c r="D501" s="2"/>
      <c r="E501" s="2"/>
      <c r="F501" s="2"/>
      <c r="G501" s="2"/>
      <c r="H501" s="8"/>
      <c r="I501" s="8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3">
      <c r="A502" s="2"/>
      <c r="B502" s="2"/>
      <c r="C502" s="2"/>
      <c r="D502" s="2"/>
      <c r="E502" s="2"/>
      <c r="F502" s="2"/>
      <c r="G502" s="2"/>
      <c r="H502" s="8"/>
      <c r="I502" s="8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3">
      <c r="A503" s="2"/>
      <c r="B503" s="2"/>
      <c r="C503" s="2"/>
      <c r="D503" s="2"/>
      <c r="E503" s="2"/>
      <c r="F503" s="2"/>
      <c r="G503" s="2"/>
      <c r="H503" s="8"/>
      <c r="I503" s="8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3">
      <c r="A504" s="2"/>
      <c r="B504" s="2"/>
      <c r="C504" s="2"/>
      <c r="D504" s="2"/>
      <c r="E504" s="2"/>
      <c r="F504" s="2"/>
      <c r="G504" s="2"/>
      <c r="H504" s="8"/>
      <c r="I504" s="8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3">
      <c r="A505" s="2"/>
      <c r="B505" s="2"/>
      <c r="C505" s="2"/>
      <c r="D505" s="2"/>
      <c r="E505" s="2"/>
      <c r="F505" s="2"/>
      <c r="G505" s="2"/>
      <c r="H505" s="8"/>
      <c r="I505" s="8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3">
      <c r="A506" s="2"/>
      <c r="B506" s="2"/>
      <c r="C506" s="2"/>
      <c r="D506" s="2"/>
      <c r="E506" s="2"/>
      <c r="F506" s="2"/>
      <c r="G506" s="2"/>
      <c r="H506" s="8"/>
      <c r="I506" s="8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3">
      <c r="A507" s="2"/>
      <c r="B507" s="2"/>
      <c r="C507" s="2"/>
      <c r="D507" s="2"/>
      <c r="E507" s="2"/>
      <c r="F507" s="2"/>
      <c r="G507" s="2"/>
      <c r="H507" s="8"/>
      <c r="I507" s="8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3">
      <c r="A508" s="2"/>
      <c r="B508" s="2"/>
      <c r="C508" s="2"/>
      <c r="D508" s="2"/>
      <c r="E508" s="2"/>
      <c r="F508" s="2"/>
      <c r="G508" s="2"/>
      <c r="H508" s="8"/>
      <c r="I508" s="8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3">
      <c r="A509" s="2"/>
      <c r="B509" s="2"/>
      <c r="C509" s="2"/>
      <c r="D509" s="2"/>
      <c r="E509" s="2"/>
      <c r="F509" s="2"/>
      <c r="G509" s="2"/>
      <c r="H509" s="8"/>
      <c r="I509" s="8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3">
      <c r="A510" s="2"/>
      <c r="B510" s="2"/>
      <c r="C510" s="2"/>
      <c r="D510" s="2"/>
      <c r="E510" s="2"/>
      <c r="F510" s="2"/>
      <c r="G510" s="2"/>
      <c r="H510" s="8"/>
      <c r="I510" s="8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3">
      <c r="A511" s="2"/>
      <c r="B511" s="2"/>
      <c r="C511" s="2"/>
      <c r="D511" s="2"/>
      <c r="E511" s="2"/>
      <c r="F511" s="2"/>
      <c r="G511" s="2"/>
      <c r="H511" s="8"/>
      <c r="I511" s="8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3">
      <c r="A512" s="2"/>
      <c r="B512" s="2"/>
      <c r="C512" s="2"/>
      <c r="D512" s="2"/>
      <c r="E512" s="2"/>
      <c r="F512" s="2"/>
      <c r="G512" s="2"/>
      <c r="H512" s="8"/>
      <c r="I512" s="8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3">
      <c r="A513" s="2"/>
      <c r="B513" s="2"/>
      <c r="C513" s="2"/>
      <c r="D513" s="2"/>
      <c r="E513" s="2"/>
      <c r="F513" s="2"/>
      <c r="G513" s="2"/>
      <c r="H513" s="8"/>
      <c r="I513" s="8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3">
      <c r="A514" s="2"/>
      <c r="B514" s="2"/>
      <c r="C514" s="2"/>
      <c r="D514" s="2"/>
      <c r="E514" s="2"/>
      <c r="F514" s="2"/>
      <c r="G514" s="2"/>
      <c r="H514" s="8"/>
      <c r="I514" s="8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3">
      <c r="A515" s="2"/>
      <c r="B515" s="2"/>
      <c r="C515" s="2"/>
      <c r="D515" s="2"/>
      <c r="E515" s="2"/>
      <c r="F515" s="2"/>
      <c r="G515" s="2"/>
      <c r="H515" s="8"/>
      <c r="I515" s="8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3">
      <c r="A516" s="2"/>
      <c r="B516" s="2"/>
      <c r="C516" s="2"/>
      <c r="D516" s="2"/>
      <c r="E516" s="2"/>
      <c r="F516" s="2"/>
      <c r="G516" s="2"/>
      <c r="H516" s="8"/>
      <c r="I516" s="8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3">
      <c r="A517" s="2"/>
      <c r="B517" s="2"/>
      <c r="C517" s="2"/>
      <c r="D517" s="2"/>
      <c r="E517" s="2"/>
      <c r="F517" s="2"/>
      <c r="G517" s="2"/>
      <c r="H517" s="8"/>
      <c r="I517" s="8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3">
      <c r="A518" s="2"/>
      <c r="B518" s="2"/>
      <c r="C518" s="2"/>
      <c r="D518" s="2"/>
      <c r="E518" s="2"/>
      <c r="F518" s="2"/>
      <c r="G518" s="2"/>
      <c r="H518" s="8"/>
      <c r="I518" s="8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3">
      <c r="A519" s="2"/>
      <c r="B519" s="2"/>
      <c r="C519" s="2"/>
      <c r="D519" s="2"/>
      <c r="E519" s="2"/>
      <c r="F519" s="2"/>
      <c r="G519" s="2"/>
      <c r="H519" s="8"/>
      <c r="I519" s="8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3">
      <c r="A520" s="2"/>
      <c r="B520" s="2"/>
      <c r="C520" s="2"/>
      <c r="D520" s="2"/>
      <c r="E520" s="2"/>
      <c r="F520" s="2"/>
      <c r="G520" s="2"/>
      <c r="H520" s="8"/>
      <c r="I520" s="8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3">
      <c r="A521" s="2"/>
      <c r="B521" s="2"/>
      <c r="C521" s="2"/>
      <c r="D521" s="2"/>
      <c r="E521" s="2"/>
      <c r="F521" s="2"/>
      <c r="G521" s="2"/>
      <c r="H521" s="8"/>
      <c r="I521" s="8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3">
      <c r="A522" s="2"/>
      <c r="B522" s="2"/>
      <c r="C522" s="2"/>
      <c r="D522" s="2"/>
      <c r="E522" s="2"/>
      <c r="F522" s="2"/>
      <c r="G522" s="2"/>
      <c r="H522" s="8"/>
      <c r="I522" s="8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3">
      <c r="A523" s="2"/>
      <c r="B523" s="2"/>
      <c r="C523" s="2"/>
      <c r="D523" s="2"/>
      <c r="E523" s="2"/>
      <c r="F523" s="2"/>
      <c r="G523" s="2"/>
      <c r="H523" s="8"/>
      <c r="I523" s="8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3">
      <c r="A524" s="2"/>
      <c r="B524" s="2"/>
      <c r="C524" s="2"/>
      <c r="D524" s="2"/>
      <c r="E524" s="2"/>
      <c r="F524" s="2"/>
      <c r="G524" s="2"/>
      <c r="H524" s="8"/>
      <c r="I524" s="8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3">
      <c r="A525" s="2"/>
      <c r="B525" s="2"/>
      <c r="C525" s="2"/>
      <c r="D525" s="2"/>
      <c r="E525" s="2"/>
      <c r="F525" s="2"/>
      <c r="G525" s="2"/>
      <c r="H525" s="8"/>
      <c r="I525" s="8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 customHeight="1" x14ac:dyDescent="0.3">
      <c r="I526" s="8"/>
      <c r="J526" s="2"/>
      <c r="K526" s="2"/>
      <c r="L526" s="2"/>
    </row>
    <row r="527" spans="1:26" ht="15" customHeight="1" x14ac:dyDescent="0.3">
      <c r="I527" s="8"/>
      <c r="J527" s="2"/>
      <c r="K527" s="2"/>
      <c r="L527" s="2"/>
    </row>
    <row r="528" spans="1:26" ht="15" customHeight="1" x14ac:dyDescent="0.3">
      <c r="I528" s="8"/>
      <c r="J528" s="2"/>
      <c r="K528" s="2"/>
      <c r="L528" s="2"/>
    </row>
    <row r="529" spans="9:12" ht="15" customHeight="1" x14ac:dyDescent="0.3">
      <c r="I529" s="8"/>
      <c r="J529" s="2"/>
      <c r="K529" s="2"/>
      <c r="L529" s="2"/>
    </row>
    <row r="530" spans="9:12" ht="15" customHeight="1" x14ac:dyDescent="0.3">
      <c r="I530" s="8"/>
      <c r="J530" s="2"/>
      <c r="K530" s="2"/>
      <c r="L530" s="2"/>
    </row>
    <row r="531" spans="9:12" ht="15" customHeight="1" x14ac:dyDescent="0.3">
      <c r="I531" s="8"/>
      <c r="J531" s="2"/>
      <c r="K531" s="2"/>
      <c r="L531" s="2"/>
    </row>
    <row r="532" spans="9:12" ht="15" customHeight="1" x14ac:dyDescent="0.3">
      <c r="I532" s="8"/>
      <c r="J532" s="2"/>
      <c r="K532" s="2"/>
      <c r="L532" s="2"/>
    </row>
    <row r="533" spans="9:12" ht="15" customHeight="1" x14ac:dyDescent="0.3">
      <c r="I533" s="8"/>
      <c r="J533" s="2"/>
      <c r="K533" s="2"/>
      <c r="L533" s="2"/>
    </row>
    <row r="534" spans="9:12" ht="15" customHeight="1" x14ac:dyDescent="0.3">
      <c r="I534" s="8"/>
      <c r="J534" s="2"/>
      <c r="K534" s="2"/>
      <c r="L534" s="2"/>
    </row>
    <row r="535" spans="9:12" ht="15" customHeight="1" x14ac:dyDescent="0.3">
      <c r="I535" s="8"/>
      <c r="J535" s="2"/>
      <c r="K535" s="2"/>
      <c r="L535" s="2"/>
    </row>
    <row r="536" spans="9:12" ht="15" customHeight="1" x14ac:dyDescent="0.3">
      <c r="I536" s="8"/>
      <c r="J536" s="2"/>
      <c r="K536" s="2"/>
      <c r="L536" s="2"/>
    </row>
    <row r="537" spans="9:12" ht="15" customHeight="1" x14ac:dyDescent="0.3">
      <c r="I537" s="8"/>
      <c r="J537" s="2"/>
      <c r="K537" s="2"/>
      <c r="L537" s="2"/>
    </row>
    <row r="538" spans="9:12" ht="15" customHeight="1" x14ac:dyDescent="0.3">
      <c r="I538" s="8"/>
      <c r="J538" s="2"/>
      <c r="K538" s="2"/>
      <c r="L538" s="2"/>
    </row>
    <row r="539" spans="9:12" ht="15" customHeight="1" x14ac:dyDescent="0.3">
      <c r="I539" s="8"/>
      <c r="J539" s="2"/>
      <c r="K539" s="2"/>
      <c r="L539" s="2"/>
    </row>
    <row r="540" spans="9:12" ht="15" customHeight="1" x14ac:dyDescent="0.3">
      <c r="I540" s="8"/>
      <c r="J540" s="2"/>
      <c r="K540" s="2"/>
      <c r="L540" s="2"/>
    </row>
    <row r="541" spans="9:12" ht="15" customHeight="1" x14ac:dyDescent="0.3">
      <c r="I541" s="8"/>
      <c r="J541" s="2"/>
      <c r="K541" s="2"/>
      <c r="L541" s="2"/>
    </row>
    <row r="542" spans="9:12" ht="15" customHeight="1" x14ac:dyDescent="0.3">
      <c r="I542" s="8"/>
      <c r="J542" s="2"/>
      <c r="K542" s="2"/>
      <c r="L542" s="2"/>
    </row>
  </sheetData>
  <mergeCells count="14">
    <mergeCell ref="A2:E2"/>
    <mergeCell ref="A3:E3"/>
    <mergeCell ref="A51:E51"/>
    <mergeCell ref="A52:E52"/>
    <mergeCell ref="A141:E141"/>
    <mergeCell ref="C6:E6"/>
    <mergeCell ref="C7:E7"/>
    <mergeCell ref="A232:E232"/>
    <mergeCell ref="A186:E186"/>
    <mergeCell ref="A187:E187"/>
    <mergeCell ref="A231:E231"/>
    <mergeCell ref="A96:E96"/>
    <mergeCell ref="A97:E97"/>
    <mergeCell ref="A142:E142"/>
  </mergeCells>
  <printOptions horizontalCentered="1"/>
  <pageMargins left="0.51181102362204722" right="0.51181102362204722" top="0.74803149606299213" bottom="0.74803149606299213" header="0" footer="0"/>
  <pageSetup paperSize="9" scale="60" orientation="landscape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5 Expen R&amp;D By State</vt:lpstr>
      <vt:lpstr>'Jadual 5 Expen R&amp;D By State'!Print_Area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2025-06-04T02:43:21Z</cp:lastPrinted>
  <dcterms:created xsi:type="dcterms:W3CDTF">2025-04-22T06:10:14Z</dcterms:created>
  <dcterms:modified xsi:type="dcterms:W3CDTF">2025-09-26T08:40:02Z</dcterms:modified>
</cp:coreProperties>
</file>